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6. Паспорта проектов\Р_1 ИСУ\2. Расчет объема финансовой потребности\"/>
    </mc:Choice>
  </mc:AlternateContent>
  <bookViews>
    <workbookView xWindow="360" yWindow="15" windowWidth="20955" windowHeight="9720" activeTab="2"/>
  </bookViews>
  <sheets>
    <sheet name="Сценарий" sheetId="1" r:id="rId1"/>
    <sheet name="расч. ср.ст" sheetId="2" r:id="rId2"/>
    <sheet name=" Кол-во ПУ" sheetId="3" r:id="rId3"/>
    <sheet name="итого 25-28" sheetId="4" r:id="rId4"/>
    <sheet name="2025 по квартально" sheetId="5" r:id="rId5"/>
    <sheet name="2026 по квартально" sheetId="6" r:id="rId6"/>
  </sheets>
  <externalReferences>
    <externalReference r:id="rId7"/>
    <externalReference r:id="rId8"/>
    <externalReference r:id="rId9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#NAME?</definedName>
    <definedName name="title">#NAME?</definedName>
    <definedName name="Z_6B3CABC6_DF8D_48D3_9282_70204E549E08_.wvu.Cols" localSheetId="1" hidden="1">'расч. ср.ст'!#REF!</definedName>
    <definedName name="Z_7E0A8D5C_12D2_4C05_B231_D6211E87B9A3_.wvu.Cols" localSheetId="1" hidden="1">'расч. ср.ст'!#REF!</definedName>
    <definedName name="Z_7E0A8D5C_12D2_4C05_B231_D6211E87B9A3_.wvu.Rows" localSheetId="2" hidden="1">' Кол-во ПУ'!#REF!,' Кол-во ПУ'!#REF!,' Кол-во ПУ'!#REF!,' Кол-во ПУ'!#REF!,' Кол-во ПУ'!#REF!</definedName>
    <definedName name="Z_7E0A8D5C_12D2_4C05_B231_D6211E87B9A3_.wvu.Rows" localSheetId="1" hidden="1">'расч. ср.ст'!#REF!</definedName>
    <definedName name="Вып_ОФ_с_пц">[3]рабочий!$Y$202:$AP$224</definedName>
    <definedName name="Вып_с_новых_ОФ">[3]рабочий!$Y$277:$AP$299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#NAME?</definedName>
    <definedName name="Дефлятор_годовой">#NAME?</definedName>
    <definedName name="Дефлятор_цепной">#NAME?</definedName>
    <definedName name="новые_ОФ_2003">[3]рабочий!$F$305:$W$327</definedName>
    <definedName name="новые_ОФ_2004">[3]рабочий!$F$335:$W$357</definedName>
    <definedName name="новые_ОФ_а_всего">[3]рабочий!$F$767:$V$789</definedName>
    <definedName name="новые_ОФ_всего">[3]рабочий!$F$1331:$V$1353</definedName>
    <definedName name="новые_ОФ_п_всего">[3]рабочий!$F$1293:$V$1315</definedName>
    <definedName name="_xlnm.Print_Area" localSheetId="0">Сценарий!$A$1:$F$33</definedName>
    <definedName name="окраска_05">[3]окраска!$C$7:$Z$30</definedName>
    <definedName name="окраска_06">[3]окраска!$C$35:$Z$58</definedName>
    <definedName name="окраска_07">[3]окраска!$C$63:$Z$86</definedName>
    <definedName name="окраска_08">[3]окраска!$C$91:$Z$114</definedName>
    <definedName name="окраска_09">[3]окраска!$C$119:$Z$142</definedName>
    <definedName name="окраска_10">[3]окраска!$C$147:$Z$170</definedName>
    <definedName name="окраска_11">[3]окраска!$C$175:$Z$198</definedName>
    <definedName name="окраска_12">[3]окраска!$C$203:$Z$226</definedName>
    <definedName name="окраска_13">[3]окраска!$C$231:$Z$254</definedName>
    <definedName name="окраска_14">[3]окраска!$C$259:$Z$282</definedName>
    <definedName name="окраска_15">[3]окраска!$C$287:$Z$310</definedName>
    <definedName name="ОФ_а_с_пц">[3]рабочий!$CI$121:$CY$143</definedName>
    <definedName name="приб">[2]Управление!$AE$20</definedName>
    <definedName name="прибвб2">[2]Управление!$AF$20</definedName>
    <definedName name="Прогноз_Вып_пц">[3]рабочий!$Y$240:$AP$262</definedName>
    <definedName name="суда">#NAME?</definedName>
    <definedName name="фо_а_н_пц">[3]рабочий!$AR$240:$BI$263</definedName>
    <definedName name="фо_а_с_пц">[3]рабочий!$AS$202:$BI$224</definedName>
    <definedName name="фо_н_03">[3]рабочий!$X$305:$X$327</definedName>
    <definedName name="фо_н_04">[3]рабочий!$X$335:$X$357</definedName>
    <definedName name="ыяпр">#NAME?</definedName>
  </definedNames>
  <calcPr calcId="162913"/>
</workbook>
</file>

<file path=xl/calcChain.xml><?xml version="1.0" encoding="utf-8"?>
<calcChain xmlns="http://schemas.openxmlformats.org/spreadsheetml/2006/main">
  <c r="S24" i="6" l="1"/>
  <c r="G24" i="6"/>
  <c r="F24" i="6"/>
  <c r="D24" i="6"/>
  <c r="Q24" i="6" s="1"/>
  <c r="N23" i="6"/>
  <c r="H23" i="6"/>
  <c r="D23" i="6"/>
  <c r="Q23" i="6" s="1"/>
  <c r="E7" i="6"/>
  <c r="E6" i="6"/>
  <c r="S24" i="5"/>
  <c r="N24" i="5"/>
  <c r="O24" i="5" s="1"/>
  <c r="P24" i="5" s="1"/>
  <c r="H24" i="5"/>
  <c r="I24" i="5" s="1"/>
  <c r="J24" i="5" s="1"/>
  <c r="G24" i="5"/>
  <c r="F24" i="5"/>
  <c r="D24" i="5"/>
  <c r="Q24" i="5" s="1"/>
  <c r="D23" i="5"/>
  <c r="D21" i="5"/>
  <c r="D20" i="5"/>
  <c r="D19" i="5"/>
  <c r="Q18" i="5"/>
  <c r="N18" i="5"/>
  <c r="K18" i="5"/>
  <c r="H18" i="5"/>
  <c r="D18" i="5"/>
  <c r="D17" i="5"/>
  <c r="D16" i="5"/>
  <c r="Q15" i="5"/>
  <c r="N15" i="5"/>
  <c r="K15" i="5"/>
  <c r="H15" i="5"/>
  <c r="D15" i="5" s="1"/>
  <c r="Q14" i="5"/>
  <c r="Q22" i="5" s="1"/>
  <c r="E13" i="5"/>
  <c r="D13" i="5"/>
  <c r="D12" i="5"/>
  <c r="Q11" i="5"/>
  <c r="N11" i="5"/>
  <c r="N14" i="5" s="1"/>
  <c r="N22" i="5" s="1"/>
  <c r="K11" i="5"/>
  <c r="H11" i="5"/>
  <c r="D10" i="5"/>
  <c r="D9" i="5"/>
  <c r="D8" i="5"/>
  <c r="Q7" i="5"/>
  <c r="N7" i="5"/>
  <c r="K7" i="5"/>
  <c r="D7" i="5" s="1"/>
  <c r="H7" i="5"/>
  <c r="D6" i="5"/>
  <c r="E5" i="3" s="1"/>
  <c r="D5" i="5"/>
  <c r="D4" i="5"/>
  <c r="Q3" i="5"/>
  <c r="N3" i="5"/>
  <c r="K3" i="5"/>
  <c r="H3" i="5"/>
  <c r="D3" i="5" s="1"/>
  <c r="P25" i="4"/>
  <c r="L25" i="4"/>
  <c r="H25" i="4"/>
  <c r="E25" i="4"/>
  <c r="P24" i="4"/>
  <c r="L24" i="4"/>
  <c r="H24" i="4"/>
  <c r="N20" i="6" s="1"/>
  <c r="P17" i="4"/>
  <c r="L17" i="4"/>
  <c r="H17" i="4"/>
  <c r="P16" i="4"/>
  <c r="L16" i="4"/>
  <c r="H16" i="4"/>
  <c r="P14" i="4"/>
  <c r="L14" i="4"/>
  <c r="H14" i="4"/>
  <c r="P13" i="4"/>
  <c r="L13" i="4"/>
  <c r="H13" i="4"/>
  <c r="P12" i="4"/>
  <c r="L12" i="4"/>
  <c r="L11" i="4" s="1"/>
  <c r="H12" i="4"/>
  <c r="P10" i="4"/>
  <c r="L10" i="4"/>
  <c r="H10" i="4"/>
  <c r="P9" i="4"/>
  <c r="E20" i="3"/>
  <c r="D20" i="3" s="1"/>
  <c r="E19" i="3"/>
  <c r="D19" i="3"/>
  <c r="E18" i="3"/>
  <c r="D23" i="4" s="1"/>
  <c r="E16" i="3"/>
  <c r="D21" i="4" s="1"/>
  <c r="E15" i="3"/>
  <c r="D20" i="4" s="1"/>
  <c r="E14" i="3"/>
  <c r="E12" i="3"/>
  <c r="D12" i="3" s="1"/>
  <c r="E11" i="3"/>
  <c r="H10" i="3"/>
  <c r="G10" i="3"/>
  <c r="F10" i="3"/>
  <c r="E9" i="3"/>
  <c r="E8" i="3"/>
  <c r="D13" i="4" s="1"/>
  <c r="E7" i="3"/>
  <c r="D12" i="4" s="1"/>
  <c r="H6" i="3"/>
  <c r="G6" i="3"/>
  <c r="F6" i="3"/>
  <c r="G4" i="3"/>
  <c r="L9" i="4" s="1"/>
  <c r="F4" i="3"/>
  <c r="H9" i="4" s="1"/>
  <c r="E4" i="3"/>
  <c r="H3" i="3"/>
  <c r="G3" i="3"/>
  <c r="L8" i="4" s="1"/>
  <c r="F3" i="3"/>
  <c r="H8" i="4" s="1"/>
  <c r="E3" i="3"/>
  <c r="D8" i="4" s="1"/>
  <c r="I20" i="2"/>
  <c r="F20" i="2"/>
  <c r="G20" i="2" s="1"/>
  <c r="E20" i="2"/>
  <c r="D20" i="2"/>
  <c r="E21" i="4" s="1"/>
  <c r="E17" i="5" s="1"/>
  <c r="I19" i="2"/>
  <c r="F19" i="2"/>
  <c r="D19" i="2"/>
  <c r="I18" i="2"/>
  <c r="F18" i="2"/>
  <c r="G18" i="2" s="1"/>
  <c r="D18" i="2"/>
  <c r="E18" i="2" s="1"/>
  <c r="I17" i="2"/>
  <c r="F17" i="2"/>
  <c r="G17" i="2" s="1"/>
  <c r="E17" i="2"/>
  <c r="D17" i="2"/>
  <c r="E17" i="4" s="1"/>
  <c r="I16" i="2"/>
  <c r="F16" i="2"/>
  <c r="D16" i="2"/>
  <c r="I15" i="2"/>
  <c r="G15" i="2"/>
  <c r="H15" i="2" s="1"/>
  <c r="F15" i="2"/>
  <c r="D15" i="2"/>
  <c r="E15" i="2" s="1"/>
  <c r="I14" i="2"/>
  <c r="G14" i="2"/>
  <c r="F14" i="2"/>
  <c r="E14" i="2"/>
  <c r="D14" i="2"/>
  <c r="E14" i="4" s="1"/>
  <c r="I13" i="2"/>
  <c r="F13" i="2"/>
  <c r="D13" i="2"/>
  <c r="E13" i="2" s="1"/>
  <c r="L12" i="2"/>
  <c r="I12" i="2"/>
  <c r="F12" i="2"/>
  <c r="D12" i="2"/>
  <c r="E12" i="4" s="1"/>
  <c r="L11" i="2"/>
  <c r="I11" i="2"/>
  <c r="F11" i="2"/>
  <c r="G11" i="2" s="1"/>
  <c r="D11" i="2"/>
  <c r="L10" i="2"/>
  <c r="I10" i="2"/>
  <c r="F10" i="2"/>
  <c r="D10" i="2"/>
  <c r="E10" i="4" s="1"/>
  <c r="L9" i="2"/>
  <c r="I9" i="2"/>
  <c r="F9" i="2"/>
  <c r="D9" i="2"/>
  <c r="E9" i="4" s="1"/>
  <c r="L8" i="2"/>
  <c r="I8" i="2"/>
  <c r="F8" i="2"/>
  <c r="G8" i="2" s="1"/>
  <c r="I8" i="4" s="1"/>
  <c r="E4" i="6" s="1"/>
  <c r="E8" i="2"/>
  <c r="D8" i="2"/>
  <c r="E8" i="4" s="1"/>
  <c r="L7" i="2"/>
  <c r="I7" i="2"/>
  <c r="F7" i="2"/>
  <c r="G7" i="2" s="1"/>
  <c r="D7" i="2"/>
  <c r="E23" i="4" s="1"/>
  <c r="J18" i="2" l="1"/>
  <c r="H18" i="2"/>
  <c r="F21" i="4"/>
  <c r="L15" i="4"/>
  <c r="P11" i="4"/>
  <c r="P15" i="4"/>
  <c r="D7" i="3"/>
  <c r="D25" i="4"/>
  <c r="T25" i="4" s="1"/>
  <c r="F2" i="3"/>
  <c r="F13" i="3" s="1"/>
  <c r="F15" i="3" s="1"/>
  <c r="D4" i="3"/>
  <c r="D9" i="4"/>
  <c r="G2" i="3"/>
  <c r="G13" i="3" s="1"/>
  <c r="G15" i="3" s="1"/>
  <c r="G16" i="3" s="1"/>
  <c r="L21" i="4" s="1"/>
  <c r="T12" i="4"/>
  <c r="D17" i="4"/>
  <c r="T17" i="4" s="1"/>
  <c r="T13" i="4"/>
  <c r="H7" i="4"/>
  <c r="E4" i="5"/>
  <c r="F8" i="4"/>
  <c r="I23" i="4"/>
  <c r="J7" i="2"/>
  <c r="H7" i="2"/>
  <c r="I24" i="4"/>
  <c r="J11" i="2"/>
  <c r="H11" i="2"/>
  <c r="H18" i="4"/>
  <c r="E2" i="3"/>
  <c r="D10" i="4"/>
  <c r="T10" i="4" s="1"/>
  <c r="D5" i="3"/>
  <c r="E10" i="5"/>
  <c r="O13" i="5"/>
  <c r="P13" i="5" s="1"/>
  <c r="F13" i="5"/>
  <c r="G13" i="5" s="1"/>
  <c r="L13" i="5"/>
  <c r="M13" i="5" s="1"/>
  <c r="I13" i="5"/>
  <c r="J13" i="5" s="1"/>
  <c r="R13" i="5"/>
  <c r="S13" i="5" s="1"/>
  <c r="E10" i="2"/>
  <c r="F12" i="4"/>
  <c r="E8" i="5"/>
  <c r="N5" i="6"/>
  <c r="H5" i="6"/>
  <c r="Q5" i="6"/>
  <c r="K5" i="6"/>
  <c r="T9" i="4"/>
  <c r="N8" i="6"/>
  <c r="H8" i="6"/>
  <c r="Q8" i="6"/>
  <c r="K8" i="6"/>
  <c r="H11" i="4"/>
  <c r="D3" i="3"/>
  <c r="H2" i="3"/>
  <c r="D16" i="4"/>
  <c r="E10" i="3"/>
  <c r="D10" i="3" s="1"/>
  <c r="E6" i="5"/>
  <c r="Q12" i="6"/>
  <c r="K12" i="6"/>
  <c r="N12" i="6"/>
  <c r="H12" i="6"/>
  <c r="H15" i="4"/>
  <c r="J8" i="2"/>
  <c r="E9" i="2"/>
  <c r="E12" i="2"/>
  <c r="F17" i="4"/>
  <c r="E20" i="4"/>
  <c r="G19" i="2"/>
  <c r="E19" i="2"/>
  <c r="I21" i="4"/>
  <c r="J20" i="2"/>
  <c r="H20" i="2"/>
  <c r="J8" i="4"/>
  <c r="Q6" i="6"/>
  <c r="R6" i="6" s="1"/>
  <c r="S6" i="6" s="1"/>
  <c r="K6" i="6"/>
  <c r="L6" i="6" s="1"/>
  <c r="M6" i="6" s="1"/>
  <c r="N6" i="6"/>
  <c r="O6" i="6" s="1"/>
  <c r="P6" i="6" s="1"/>
  <c r="H6" i="6"/>
  <c r="Q9" i="6"/>
  <c r="K9" i="6"/>
  <c r="N9" i="6"/>
  <c r="H9" i="6"/>
  <c r="N23" i="5"/>
  <c r="H23" i="5"/>
  <c r="Q23" i="5"/>
  <c r="E13" i="4"/>
  <c r="G13" i="2"/>
  <c r="I25" i="4"/>
  <c r="J15" i="2"/>
  <c r="D14" i="4"/>
  <c r="F14" i="4" s="1"/>
  <c r="D9" i="3"/>
  <c r="E6" i="3"/>
  <c r="G21" i="4"/>
  <c r="G10" i="2"/>
  <c r="E16" i="4"/>
  <c r="G16" i="2"/>
  <c r="Q4" i="6"/>
  <c r="K4" i="6"/>
  <c r="N4" i="6"/>
  <c r="H4" i="6"/>
  <c r="D19" i="4"/>
  <c r="D11" i="5"/>
  <c r="H14" i="5"/>
  <c r="K23" i="5"/>
  <c r="E21" i="5"/>
  <c r="H8" i="2"/>
  <c r="R17" i="5"/>
  <c r="S17" i="5" s="1"/>
  <c r="I17" i="5"/>
  <c r="O17" i="5"/>
  <c r="P17" i="5" s="1"/>
  <c r="L17" i="5"/>
  <c r="M17" i="5" s="1"/>
  <c r="E5" i="5"/>
  <c r="F9" i="4"/>
  <c r="E19" i="5"/>
  <c r="F23" i="4"/>
  <c r="J14" i="2"/>
  <c r="I14" i="4"/>
  <c r="E7" i="2"/>
  <c r="G9" i="2"/>
  <c r="E24" i="4"/>
  <c r="E11" i="2"/>
  <c r="G12" i="2"/>
  <c r="H14" i="2"/>
  <c r="E16" i="2"/>
  <c r="I17" i="4"/>
  <c r="J17" i="2"/>
  <c r="H17" i="2"/>
  <c r="M18" i="2"/>
  <c r="N18" i="2" s="1"/>
  <c r="K18" i="2"/>
  <c r="L7" i="4"/>
  <c r="L18" i="4" s="1"/>
  <c r="D11" i="3"/>
  <c r="D24" i="4"/>
  <c r="T24" i="4" s="1"/>
  <c r="E17" i="3"/>
  <c r="P8" i="4"/>
  <c r="P7" i="4" s="1"/>
  <c r="P18" i="4" s="1"/>
  <c r="D8" i="3"/>
  <c r="N21" i="6"/>
  <c r="H21" i="6"/>
  <c r="Q21" i="6"/>
  <c r="K21" i="6"/>
  <c r="K14" i="5"/>
  <c r="K22" i="5" s="1"/>
  <c r="N13" i="6"/>
  <c r="H13" i="6"/>
  <c r="Q13" i="6"/>
  <c r="K13" i="6"/>
  <c r="Q10" i="6"/>
  <c r="K10" i="6"/>
  <c r="Q20" i="6"/>
  <c r="K20" i="6"/>
  <c r="H10" i="6"/>
  <c r="N10" i="6"/>
  <c r="H20" i="6"/>
  <c r="K23" i="6"/>
  <c r="H24" i="6"/>
  <c r="I24" i="6" s="1"/>
  <c r="J24" i="6" s="1"/>
  <c r="N24" i="6"/>
  <c r="O24" i="6" s="1"/>
  <c r="P24" i="6" s="1"/>
  <c r="K24" i="5"/>
  <c r="L24" i="5" s="1"/>
  <c r="M24" i="5" s="1"/>
  <c r="K24" i="6"/>
  <c r="L24" i="6" s="1"/>
  <c r="M24" i="6" s="1"/>
  <c r="F25" i="4" l="1"/>
  <c r="L20" i="4"/>
  <c r="L19" i="4" s="1"/>
  <c r="L26" i="4" s="1"/>
  <c r="D22" i="4"/>
  <c r="F16" i="3"/>
  <c r="F10" i="4"/>
  <c r="G10" i="4" s="1"/>
  <c r="V10" i="4" s="1"/>
  <c r="H20" i="4"/>
  <c r="N16" i="6" s="1"/>
  <c r="G18" i="3"/>
  <c r="L23" i="4" s="1"/>
  <c r="L22" i="4" s="1"/>
  <c r="T8" i="4"/>
  <c r="T7" i="4" s="1"/>
  <c r="G14" i="4"/>
  <c r="L21" i="5"/>
  <c r="M21" i="5" s="1"/>
  <c r="R21" i="5"/>
  <c r="S21" i="5" s="1"/>
  <c r="I21" i="5"/>
  <c r="O21" i="5"/>
  <c r="P21" i="5" s="1"/>
  <c r="D8" i="6"/>
  <c r="H7" i="6"/>
  <c r="M14" i="4"/>
  <c r="N14" i="4" s="1"/>
  <c r="O14" i="4" s="1"/>
  <c r="K14" i="2"/>
  <c r="M14" i="2"/>
  <c r="J10" i="2"/>
  <c r="H10" i="2"/>
  <c r="H19" i="2"/>
  <c r="J19" i="2"/>
  <c r="I20" i="4"/>
  <c r="N7" i="6"/>
  <c r="L10" i="5"/>
  <c r="M10" i="5" s="1"/>
  <c r="R10" i="5"/>
  <c r="S10" i="5" s="1"/>
  <c r="I10" i="5"/>
  <c r="J10" i="5" s="1"/>
  <c r="F10" i="5"/>
  <c r="G10" i="5" s="1"/>
  <c r="O10" i="5"/>
  <c r="P10" i="5" s="1"/>
  <c r="D21" i="6"/>
  <c r="G23" i="4"/>
  <c r="F17" i="5"/>
  <c r="G17" i="5" s="1"/>
  <c r="J17" i="5"/>
  <c r="H22" i="5"/>
  <c r="D22" i="5" s="1"/>
  <c r="D14" i="5"/>
  <c r="L4" i="6"/>
  <c r="K3" i="6"/>
  <c r="M25" i="4"/>
  <c r="N25" i="4" s="1"/>
  <c r="O25" i="4" s="1"/>
  <c r="M15" i="2"/>
  <c r="K15" i="2"/>
  <c r="E16" i="5"/>
  <c r="F20" i="4"/>
  <c r="D12" i="6"/>
  <c r="H11" i="6"/>
  <c r="M24" i="4"/>
  <c r="N24" i="4" s="1"/>
  <c r="O24" i="4" s="1"/>
  <c r="K11" i="2"/>
  <c r="M11" i="2"/>
  <c r="I4" i="5"/>
  <c r="F4" i="5"/>
  <c r="R4" i="5"/>
  <c r="L4" i="5"/>
  <c r="O4" i="5"/>
  <c r="E10" i="6"/>
  <c r="J14" i="4"/>
  <c r="K14" i="4" s="1"/>
  <c r="D4" i="6"/>
  <c r="F4" i="6" s="1"/>
  <c r="H3" i="6"/>
  <c r="I4" i="6"/>
  <c r="M8" i="4"/>
  <c r="N8" i="4" s="1"/>
  <c r="K8" i="2"/>
  <c r="M8" i="2"/>
  <c r="D10" i="6"/>
  <c r="F7" i="4"/>
  <c r="G8" i="4"/>
  <c r="M17" i="4"/>
  <c r="N17" i="4" s="1"/>
  <c r="O17" i="4" s="1"/>
  <c r="K17" i="2"/>
  <c r="M17" i="2"/>
  <c r="E20" i="5"/>
  <c r="F24" i="4"/>
  <c r="F22" i="4" s="1"/>
  <c r="L19" i="5"/>
  <c r="R19" i="5"/>
  <c r="I19" i="5"/>
  <c r="O19" i="5"/>
  <c r="R4" i="6"/>
  <c r="Q3" i="6"/>
  <c r="E21" i="6"/>
  <c r="I21" i="6" s="1"/>
  <c r="J25" i="4"/>
  <c r="K25" i="4" s="1"/>
  <c r="D9" i="6"/>
  <c r="G17" i="4"/>
  <c r="N11" i="6"/>
  <c r="L8" i="5"/>
  <c r="R8" i="5"/>
  <c r="I8" i="5"/>
  <c r="F8" i="5"/>
  <c r="O8" i="5"/>
  <c r="E20" i="6"/>
  <c r="O20" i="6" s="1"/>
  <c r="P20" i="6" s="1"/>
  <c r="J24" i="4"/>
  <c r="K24" i="4" s="1"/>
  <c r="F16" i="4"/>
  <c r="E12" i="5"/>
  <c r="R21" i="6"/>
  <c r="S21" i="6" s="1"/>
  <c r="I12" i="4"/>
  <c r="J12" i="2"/>
  <c r="H12" i="2"/>
  <c r="N3" i="6"/>
  <c r="O4" i="6"/>
  <c r="D6" i="6"/>
  <c r="F6" i="6" s="1"/>
  <c r="G6" i="6" s="1"/>
  <c r="I6" i="6"/>
  <c r="J6" i="6" s="1"/>
  <c r="D13" i="6"/>
  <c r="E13" i="6"/>
  <c r="F13" i="6" s="1"/>
  <c r="G13" i="6" s="1"/>
  <c r="J17" i="4"/>
  <c r="K17" i="4" s="1"/>
  <c r="J9" i="2"/>
  <c r="I9" i="4"/>
  <c r="H9" i="2"/>
  <c r="G9" i="4"/>
  <c r="I13" i="4"/>
  <c r="H13" i="2"/>
  <c r="J13" i="2"/>
  <c r="M21" i="4"/>
  <c r="N21" i="4" s="1"/>
  <c r="O21" i="4" s="1"/>
  <c r="K20" i="2"/>
  <c r="M20" i="2"/>
  <c r="K11" i="6"/>
  <c r="T16" i="4"/>
  <c r="T15" i="4" s="1"/>
  <c r="D15" i="4"/>
  <c r="K7" i="6"/>
  <c r="D6" i="3"/>
  <c r="G12" i="4"/>
  <c r="E19" i="6"/>
  <c r="T14" i="4"/>
  <c r="T11" i="4" s="1"/>
  <c r="D11" i="4"/>
  <c r="O6" i="5"/>
  <c r="P6" i="5" s="1"/>
  <c r="L6" i="5"/>
  <c r="M6" i="5" s="1"/>
  <c r="I6" i="5"/>
  <c r="J6" i="5" s="1"/>
  <c r="F6" i="5"/>
  <c r="G6" i="5" s="1"/>
  <c r="R6" i="5"/>
  <c r="S6" i="5" s="1"/>
  <c r="D5" i="6"/>
  <c r="R20" i="6"/>
  <c r="S20" i="6" s="1"/>
  <c r="O21" i="6"/>
  <c r="P21" i="6" s="1"/>
  <c r="D20" i="6"/>
  <c r="I20" i="6"/>
  <c r="F5" i="5"/>
  <c r="G5" i="5" s="1"/>
  <c r="R5" i="5"/>
  <c r="S5" i="5" s="1"/>
  <c r="O5" i="5"/>
  <c r="P5" i="5" s="1"/>
  <c r="L5" i="5"/>
  <c r="M5" i="5" s="1"/>
  <c r="I5" i="5"/>
  <c r="J5" i="5" s="1"/>
  <c r="G25" i="4"/>
  <c r="H16" i="2"/>
  <c r="I16" i="4"/>
  <c r="J16" i="2"/>
  <c r="F13" i="4"/>
  <c r="E9" i="5"/>
  <c r="K8" i="4"/>
  <c r="E17" i="6"/>
  <c r="Q11" i="6"/>
  <c r="H13" i="3"/>
  <c r="D2" i="3"/>
  <c r="Q7" i="6"/>
  <c r="D7" i="4"/>
  <c r="E21" i="3"/>
  <c r="E13" i="3"/>
  <c r="M23" i="4"/>
  <c r="K7" i="2"/>
  <c r="M7" i="2"/>
  <c r="G14" i="3"/>
  <c r="G21" i="3" s="1"/>
  <c r="L13" i="6" l="1"/>
  <c r="M13" i="6" s="1"/>
  <c r="Q16" i="6"/>
  <c r="U10" i="4"/>
  <c r="K16" i="6"/>
  <c r="H16" i="6"/>
  <c r="Q14" i="6"/>
  <c r="G17" i="3"/>
  <c r="H21" i="4"/>
  <c r="F18" i="3"/>
  <c r="F10" i="6"/>
  <c r="G10" i="6" s="1"/>
  <c r="F14" i="3"/>
  <c r="F21" i="3" s="1"/>
  <c r="N23" i="4"/>
  <c r="O23" i="4" s="1"/>
  <c r="O22" i="4" s="1"/>
  <c r="T18" i="4"/>
  <c r="J21" i="6"/>
  <c r="N20" i="2"/>
  <c r="Q21" i="4"/>
  <c r="L20" i="5"/>
  <c r="M20" i="5" s="1"/>
  <c r="R20" i="5"/>
  <c r="S20" i="5" s="1"/>
  <c r="I20" i="5"/>
  <c r="O20" i="5"/>
  <c r="P20" i="5" s="1"/>
  <c r="J21" i="5"/>
  <c r="F21" i="5"/>
  <c r="G21" i="5" s="1"/>
  <c r="L22" i="6"/>
  <c r="M22" i="6" s="1"/>
  <c r="P4" i="6"/>
  <c r="P4" i="5"/>
  <c r="O3" i="5"/>
  <c r="P3" i="5" s="1"/>
  <c r="M4" i="6"/>
  <c r="J20" i="4"/>
  <c r="E16" i="6"/>
  <c r="D16" i="6"/>
  <c r="G13" i="4"/>
  <c r="R10" i="6"/>
  <c r="S10" i="6" s="1"/>
  <c r="L10" i="6"/>
  <c r="M10" i="6" s="1"/>
  <c r="O12" i="5"/>
  <c r="F12" i="5"/>
  <c r="I12" i="5"/>
  <c r="R12" i="5"/>
  <c r="L12" i="5"/>
  <c r="I18" i="5"/>
  <c r="J19" i="5"/>
  <c r="F19" i="5"/>
  <c r="G19" i="5" s="1"/>
  <c r="I10" i="6"/>
  <c r="J10" i="6" s="1"/>
  <c r="J4" i="6"/>
  <c r="M4" i="5"/>
  <c r="L3" i="5"/>
  <c r="M3" i="5" s="1"/>
  <c r="R16" i="5"/>
  <c r="I16" i="5"/>
  <c r="O16" i="5"/>
  <c r="L16" i="5"/>
  <c r="M20" i="4"/>
  <c r="N20" i="4" s="1"/>
  <c r="M19" i="2"/>
  <c r="K19" i="2"/>
  <c r="Q24" i="4"/>
  <c r="R24" i="4" s="1"/>
  <c r="S24" i="4" s="1"/>
  <c r="N11" i="2"/>
  <c r="L9" i="5"/>
  <c r="M9" i="5" s="1"/>
  <c r="R9" i="5"/>
  <c r="S9" i="5" s="1"/>
  <c r="I9" i="5"/>
  <c r="J9" i="5" s="1"/>
  <c r="O9" i="5"/>
  <c r="P9" i="5" s="1"/>
  <c r="F9" i="5"/>
  <c r="G9" i="5" s="1"/>
  <c r="L7" i="5"/>
  <c r="M7" i="5" s="1"/>
  <c r="M8" i="5"/>
  <c r="Q17" i="4"/>
  <c r="R17" i="4" s="1"/>
  <c r="S17" i="4" s="1"/>
  <c r="V17" i="4" s="1"/>
  <c r="N17" i="2"/>
  <c r="F19" i="4"/>
  <c r="G20" i="4"/>
  <c r="M16" i="4"/>
  <c r="N16" i="4" s="1"/>
  <c r="M16" i="2"/>
  <c r="K16" i="2"/>
  <c r="J20" i="6"/>
  <c r="F11" i="4"/>
  <c r="I13" i="6"/>
  <c r="J13" i="6" s="1"/>
  <c r="F15" i="4"/>
  <c r="G16" i="4"/>
  <c r="O7" i="5"/>
  <c r="P7" i="5" s="1"/>
  <c r="P8" i="5"/>
  <c r="N14" i="6"/>
  <c r="S19" i="5"/>
  <c r="R18" i="5"/>
  <c r="S18" i="5" s="1"/>
  <c r="D3" i="6"/>
  <c r="S4" i="5"/>
  <c r="R3" i="5"/>
  <c r="S3" i="5" s="1"/>
  <c r="O10" i="6"/>
  <c r="P10" i="6" s="1"/>
  <c r="S4" i="6"/>
  <c r="Q14" i="4"/>
  <c r="R14" i="4" s="1"/>
  <c r="S14" i="4" s="1"/>
  <c r="V14" i="4" s="1"/>
  <c r="N14" i="2"/>
  <c r="P19" i="5"/>
  <c r="O16" i="6"/>
  <c r="E12" i="6"/>
  <c r="J16" i="4"/>
  <c r="K14" i="6"/>
  <c r="M13" i="4"/>
  <c r="N13" i="4" s="1"/>
  <c r="O13" i="4" s="1"/>
  <c r="K13" i="2"/>
  <c r="M13" i="2"/>
  <c r="E5" i="6"/>
  <c r="J9" i="4"/>
  <c r="M12" i="2"/>
  <c r="M12" i="4"/>
  <c r="N12" i="4" s="1"/>
  <c r="K12" i="2"/>
  <c r="L21" i="6"/>
  <c r="M21" i="6" s="1"/>
  <c r="F7" i="5"/>
  <c r="G7" i="5" s="1"/>
  <c r="G8" i="5"/>
  <c r="M19" i="5"/>
  <c r="L18" i="5"/>
  <c r="M18" i="5" s="1"/>
  <c r="L20" i="6"/>
  <c r="M20" i="6" s="1"/>
  <c r="G4" i="6"/>
  <c r="G4" i="5"/>
  <c r="F3" i="5"/>
  <c r="G3" i="5" s="1"/>
  <c r="Q25" i="4"/>
  <c r="R25" i="4" s="1"/>
  <c r="N15" i="2"/>
  <c r="R16" i="6"/>
  <c r="E9" i="6"/>
  <c r="J13" i="4"/>
  <c r="K13" i="4" s="1"/>
  <c r="S8" i="5"/>
  <c r="O8" i="4"/>
  <c r="L16" i="6"/>
  <c r="Q23" i="4"/>
  <c r="N7" i="2"/>
  <c r="D18" i="4"/>
  <c r="D26" i="4"/>
  <c r="H15" i="3"/>
  <c r="D13" i="3"/>
  <c r="O13" i="6"/>
  <c r="P13" i="6" s="1"/>
  <c r="M9" i="4"/>
  <c r="N9" i="4" s="1"/>
  <c r="O9" i="4" s="1"/>
  <c r="M9" i="2"/>
  <c r="K9" i="2"/>
  <c r="E8" i="6"/>
  <c r="J12" i="4"/>
  <c r="I7" i="5"/>
  <c r="J7" i="5" s="1"/>
  <c r="J8" i="5"/>
  <c r="U17" i="4"/>
  <c r="G24" i="4"/>
  <c r="G7" i="4"/>
  <c r="N8" i="2"/>
  <c r="Q8" i="4"/>
  <c r="R8" i="4" s="1"/>
  <c r="I3" i="5"/>
  <c r="J3" i="5" s="1"/>
  <c r="J4" i="5"/>
  <c r="H14" i="6"/>
  <c r="D11" i="6"/>
  <c r="R13" i="6"/>
  <c r="S13" i="6" s="1"/>
  <c r="K10" i="2"/>
  <c r="M10" i="2"/>
  <c r="N10" i="2" s="1"/>
  <c r="D7" i="6"/>
  <c r="R7" i="5" l="1"/>
  <c r="S7" i="5" s="1"/>
  <c r="U14" i="4"/>
  <c r="O18" i="5"/>
  <c r="P18" i="5" s="1"/>
  <c r="F26" i="4"/>
  <c r="F22" i="5" s="1"/>
  <c r="G22" i="5" s="1"/>
  <c r="I16" i="6"/>
  <c r="U24" i="4"/>
  <c r="V24" i="4"/>
  <c r="H23" i="4"/>
  <c r="F17" i="3"/>
  <c r="N22" i="4"/>
  <c r="K17" i="6"/>
  <c r="N17" i="6"/>
  <c r="H17" i="6"/>
  <c r="J21" i="4"/>
  <c r="K21" i="4" s="1"/>
  <c r="Q17" i="6"/>
  <c r="H19" i="4"/>
  <c r="H26" i="4" s="1"/>
  <c r="F16" i="5"/>
  <c r="G16" i="5" s="1"/>
  <c r="J16" i="5"/>
  <c r="I15" i="5"/>
  <c r="S8" i="4"/>
  <c r="Q9" i="4"/>
  <c r="R9" i="4" s="1"/>
  <c r="S9" i="4" s="1"/>
  <c r="N9" i="2"/>
  <c r="F11" i="5"/>
  <c r="G12" i="5"/>
  <c r="N7" i="4"/>
  <c r="F9" i="6"/>
  <c r="G9" i="6" s="1"/>
  <c r="R9" i="6"/>
  <c r="S9" i="6" s="1"/>
  <c r="O9" i="6"/>
  <c r="P9" i="6" s="1"/>
  <c r="I9" i="6"/>
  <c r="J9" i="6" s="1"/>
  <c r="L9" i="6"/>
  <c r="M9" i="6" s="1"/>
  <c r="S25" i="4"/>
  <c r="V25" i="4" s="1"/>
  <c r="U25" i="4"/>
  <c r="F12" i="6"/>
  <c r="L12" i="6"/>
  <c r="I12" i="6"/>
  <c r="O12" i="6"/>
  <c r="R12" i="6"/>
  <c r="F20" i="6"/>
  <c r="G20" i="6" s="1"/>
  <c r="N19" i="4"/>
  <c r="O20" i="4"/>
  <c r="O19" i="4" s="1"/>
  <c r="P12" i="5"/>
  <c r="O11" i="5"/>
  <c r="J16" i="6"/>
  <c r="F16" i="6"/>
  <c r="G16" i="6" s="1"/>
  <c r="G22" i="4"/>
  <c r="J20" i="5"/>
  <c r="F20" i="5"/>
  <c r="G20" i="5" s="1"/>
  <c r="G19" i="4"/>
  <c r="O7" i="4"/>
  <c r="O12" i="4"/>
  <c r="O11" i="4" s="1"/>
  <c r="N11" i="4"/>
  <c r="P16" i="6"/>
  <c r="G15" i="4"/>
  <c r="F18" i="5"/>
  <c r="G18" i="5" s="1"/>
  <c r="J18" i="5"/>
  <c r="F21" i="6"/>
  <c r="G21" i="6" s="1"/>
  <c r="M16" i="6"/>
  <c r="F5" i="6"/>
  <c r="I5" i="6"/>
  <c r="R5" i="6"/>
  <c r="L5" i="6"/>
  <c r="O5" i="6"/>
  <c r="K20" i="4"/>
  <c r="K19" i="4" s="1"/>
  <c r="P20" i="4"/>
  <c r="D15" i="3"/>
  <c r="H16" i="3"/>
  <c r="Q13" i="4"/>
  <c r="R13" i="4" s="1"/>
  <c r="S13" i="4" s="1"/>
  <c r="V13" i="4" s="1"/>
  <c r="N13" i="2"/>
  <c r="R15" i="5"/>
  <c r="S15" i="5" s="1"/>
  <c r="S16" i="5"/>
  <c r="D14" i="6"/>
  <c r="K12" i="4"/>
  <c r="J11" i="4"/>
  <c r="S16" i="6"/>
  <c r="Q12" i="4"/>
  <c r="R12" i="4" s="1"/>
  <c r="U12" i="4" s="1"/>
  <c r="N12" i="2"/>
  <c r="N16" i="2"/>
  <c r="Q16" i="4"/>
  <c r="R16" i="4" s="1"/>
  <c r="U16" i="4" s="1"/>
  <c r="U15" i="4" s="1"/>
  <c r="F18" i="4"/>
  <c r="M16" i="5"/>
  <c r="L15" i="5"/>
  <c r="M15" i="5" s="1"/>
  <c r="L11" i="5"/>
  <c r="M12" i="5"/>
  <c r="U8" i="4"/>
  <c r="I11" i="5"/>
  <c r="J12" i="5"/>
  <c r="K16" i="4"/>
  <c r="K15" i="4" s="1"/>
  <c r="J15" i="4"/>
  <c r="N19" i="2"/>
  <c r="Q20" i="4"/>
  <c r="F8" i="6"/>
  <c r="R8" i="6"/>
  <c r="L8" i="6"/>
  <c r="I8" i="6"/>
  <c r="O8" i="6"/>
  <c r="K9" i="4"/>
  <c r="J7" i="4"/>
  <c r="U9" i="4"/>
  <c r="N15" i="4"/>
  <c r="O16" i="4"/>
  <c r="O15" i="4" s="1"/>
  <c r="O15" i="5"/>
  <c r="P15" i="5" s="1"/>
  <c r="P16" i="5"/>
  <c r="S12" i="5"/>
  <c r="R11" i="5"/>
  <c r="G11" i="4"/>
  <c r="J19" i="4" l="1"/>
  <c r="F27" i="4"/>
  <c r="G26" i="4"/>
  <c r="N15" i="6"/>
  <c r="N22" i="6" s="1"/>
  <c r="O17" i="6"/>
  <c r="L17" i="6"/>
  <c r="K15" i="6"/>
  <c r="K22" i="6" s="1"/>
  <c r="H15" i="6"/>
  <c r="D17" i="6"/>
  <c r="I17" i="6"/>
  <c r="R17" i="6"/>
  <c r="Q15" i="6"/>
  <c r="Q22" i="6" s="1"/>
  <c r="J23" i="4"/>
  <c r="Q19" i="6"/>
  <c r="H19" i="6"/>
  <c r="H22" i="4"/>
  <c r="K19" i="6"/>
  <c r="N19" i="6"/>
  <c r="R20" i="4"/>
  <c r="S20" i="4" s="1"/>
  <c r="V20" i="4" s="1"/>
  <c r="U13" i="4"/>
  <c r="U11" i="4" s="1"/>
  <c r="D16" i="3"/>
  <c r="P21" i="4"/>
  <c r="P19" i="4" s="1"/>
  <c r="P26" i="4" s="1"/>
  <c r="F14" i="5"/>
  <c r="G11" i="5"/>
  <c r="K7" i="4"/>
  <c r="V9" i="4"/>
  <c r="F7" i="6"/>
  <c r="G7" i="6" s="1"/>
  <c r="G8" i="6"/>
  <c r="U7" i="4"/>
  <c r="H14" i="3"/>
  <c r="P5" i="6"/>
  <c r="O3" i="6"/>
  <c r="P3" i="6" s="1"/>
  <c r="K11" i="4"/>
  <c r="G5" i="6"/>
  <c r="F3" i="6"/>
  <c r="G3" i="6" s="1"/>
  <c r="L11" i="6"/>
  <c r="M12" i="6"/>
  <c r="S7" i="4"/>
  <c r="V8" i="4"/>
  <c r="J26" i="4"/>
  <c r="F22" i="6" s="1"/>
  <c r="G22" i="6" s="1"/>
  <c r="J18" i="4"/>
  <c r="I14" i="5"/>
  <c r="I22" i="5" s="1"/>
  <c r="J11" i="5"/>
  <c r="F11" i="6"/>
  <c r="G12" i="6"/>
  <c r="J15" i="5"/>
  <c r="F15" i="5"/>
  <c r="G15" i="5" s="1"/>
  <c r="R14" i="5"/>
  <c r="R22" i="5" s="1"/>
  <c r="S11" i="5"/>
  <c r="U20" i="4"/>
  <c r="S16" i="4"/>
  <c r="S15" i="4" s="1"/>
  <c r="R15" i="4"/>
  <c r="M5" i="6"/>
  <c r="L3" i="6"/>
  <c r="M3" i="6" s="1"/>
  <c r="R11" i="6"/>
  <c r="S12" i="6"/>
  <c r="N26" i="4"/>
  <c r="N27" i="4" s="1"/>
  <c r="E35" i="4" s="1"/>
  <c r="E36" i="4" s="1"/>
  <c r="N18" i="4"/>
  <c r="C35" i="4"/>
  <c r="F30" i="4"/>
  <c r="L7" i="6"/>
  <c r="M7" i="6" s="1"/>
  <c r="M8" i="6"/>
  <c r="R7" i="6"/>
  <c r="S7" i="6" s="1"/>
  <c r="S8" i="6"/>
  <c r="O7" i="6"/>
  <c r="P7" i="6" s="1"/>
  <c r="P8" i="6"/>
  <c r="H18" i="3"/>
  <c r="S5" i="6"/>
  <c r="R3" i="6"/>
  <c r="S3" i="6" s="1"/>
  <c r="O14" i="5"/>
  <c r="O22" i="5" s="1"/>
  <c r="P11" i="5"/>
  <c r="O11" i="6"/>
  <c r="P12" i="6"/>
  <c r="R11" i="4"/>
  <c r="S12" i="4"/>
  <c r="S11" i="4" s="1"/>
  <c r="O26" i="4"/>
  <c r="O18" i="4"/>
  <c r="G18" i="4"/>
  <c r="I7" i="6"/>
  <c r="J7" i="6" s="1"/>
  <c r="J8" i="6"/>
  <c r="M11" i="5"/>
  <c r="L14" i="5"/>
  <c r="L22" i="5" s="1"/>
  <c r="T20" i="4"/>
  <c r="J5" i="6"/>
  <c r="I3" i="6"/>
  <c r="J3" i="6" s="1"/>
  <c r="G27" i="4"/>
  <c r="C42" i="4" s="1"/>
  <c r="I11" i="6"/>
  <c r="J12" i="6"/>
  <c r="R7" i="4"/>
  <c r="V7" i="4" l="1"/>
  <c r="R19" i="6"/>
  <c r="Q18" i="6"/>
  <c r="D15" i="6"/>
  <c r="H22" i="6"/>
  <c r="D22" i="6" s="1"/>
  <c r="V12" i="4"/>
  <c r="V11" i="4" s="1"/>
  <c r="K23" i="4"/>
  <c r="K22" i="4" s="1"/>
  <c r="J22" i="4"/>
  <c r="J27" i="4" s="1"/>
  <c r="D35" i="4" s="1"/>
  <c r="D36" i="4" s="1"/>
  <c r="D19" i="6"/>
  <c r="H18" i="6"/>
  <c r="I19" i="6"/>
  <c r="N18" i="6"/>
  <c r="O19" i="6"/>
  <c r="M17" i="6"/>
  <c r="L15" i="6"/>
  <c r="M15" i="6" s="1"/>
  <c r="V16" i="4"/>
  <c r="V15" i="4" s="1"/>
  <c r="L19" i="6"/>
  <c r="K18" i="6"/>
  <c r="S17" i="6"/>
  <c r="R15" i="6"/>
  <c r="S15" i="6" s="1"/>
  <c r="P17" i="6"/>
  <c r="O15" i="6"/>
  <c r="P15" i="6" s="1"/>
  <c r="J17" i="6"/>
  <c r="I15" i="6"/>
  <c r="F17" i="6"/>
  <c r="G17" i="6" s="1"/>
  <c r="O23" i="5"/>
  <c r="P23" i="5" s="1"/>
  <c r="P14" i="5"/>
  <c r="P22" i="5" s="1"/>
  <c r="C43" i="4"/>
  <c r="J11" i="6"/>
  <c r="I14" i="6"/>
  <c r="I22" i="6" s="1"/>
  <c r="C36" i="4"/>
  <c r="P23" i="4"/>
  <c r="D18" i="3"/>
  <c r="H17" i="3"/>
  <c r="D17" i="3" s="1"/>
  <c r="G11" i="6"/>
  <c r="F14" i="6"/>
  <c r="S18" i="4"/>
  <c r="K18" i="4"/>
  <c r="K26" i="4"/>
  <c r="T21" i="4"/>
  <c r="T19" i="4" s="1"/>
  <c r="T26" i="4" s="1"/>
  <c r="R21" i="4"/>
  <c r="M14" i="5"/>
  <c r="M22" i="5" s="1"/>
  <c r="L23" i="5"/>
  <c r="M23" i="5" s="1"/>
  <c r="R18" i="4"/>
  <c r="O22" i="6"/>
  <c r="P22" i="6" s="1"/>
  <c r="O27" i="4"/>
  <c r="E42" i="4" s="1"/>
  <c r="E43" i="4" s="1"/>
  <c r="D14" i="3"/>
  <c r="H21" i="3"/>
  <c r="D21" i="3" s="1"/>
  <c r="P11" i="6"/>
  <c r="O14" i="6"/>
  <c r="S11" i="6"/>
  <c r="R14" i="6"/>
  <c r="S14" i="5"/>
  <c r="S22" i="5" s="1"/>
  <c r="R23" i="5"/>
  <c r="S23" i="5" s="1"/>
  <c r="I23" i="5"/>
  <c r="J23" i="5" s="1"/>
  <c r="J14" i="5"/>
  <c r="J22" i="5" s="1"/>
  <c r="M11" i="6"/>
  <c r="L14" i="6"/>
  <c r="U18" i="4"/>
  <c r="G14" i="5"/>
  <c r="F23" i="5"/>
  <c r="G23" i="5" s="1"/>
  <c r="V18" i="4" l="1"/>
  <c r="K27" i="4"/>
  <c r="D42" i="4" s="1"/>
  <c r="D43" i="4" s="1"/>
  <c r="F15" i="6"/>
  <c r="G15" i="6" s="1"/>
  <c r="J15" i="6"/>
  <c r="M19" i="6"/>
  <c r="L18" i="6"/>
  <c r="M18" i="6" s="1"/>
  <c r="I18" i="6"/>
  <c r="F19" i="6"/>
  <c r="G19" i="6" s="1"/>
  <c r="J19" i="6"/>
  <c r="O18" i="6"/>
  <c r="P18" i="6" s="1"/>
  <c r="P19" i="6"/>
  <c r="D18" i="6"/>
  <c r="R18" i="6"/>
  <c r="S18" i="6" s="1"/>
  <c r="S19" i="6"/>
  <c r="P14" i="6"/>
  <c r="J14" i="6"/>
  <c r="J22" i="6" s="1"/>
  <c r="G14" i="6"/>
  <c r="S21" i="4"/>
  <c r="U21" i="4"/>
  <c r="U19" i="4" s="1"/>
  <c r="U26" i="4" s="1"/>
  <c r="R19" i="4"/>
  <c r="R26" i="4" s="1"/>
  <c r="P22" i="4"/>
  <c r="T23" i="4"/>
  <c r="T22" i="4" s="1"/>
  <c r="R23" i="4"/>
  <c r="M14" i="6"/>
  <c r="S14" i="6"/>
  <c r="L23" i="6" l="1"/>
  <c r="M23" i="6" s="1"/>
  <c r="F18" i="6"/>
  <c r="J18" i="6"/>
  <c r="R23" i="6"/>
  <c r="S23" i="6" s="1"/>
  <c r="O23" i="6"/>
  <c r="P23" i="6" s="1"/>
  <c r="I23" i="6"/>
  <c r="J23" i="6" s="1"/>
  <c r="V21" i="4"/>
  <c r="V19" i="4" s="1"/>
  <c r="V26" i="4" s="1"/>
  <c r="S19" i="4"/>
  <c r="S26" i="4" s="1"/>
  <c r="R22" i="4"/>
  <c r="R27" i="4" s="1"/>
  <c r="F35" i="4" s="1"/>
  <c r="S23" i="4"/>
  <c r="U23" i="4"/>
  <c r="U22" i="4" s="1"/>
  <c r="U27" i="4" s="1"/>
  <c r="R22" i="6"/>
  <c r="S22" i="6" s="1"/>
  <c r="G18" i="6" l="1"/>
  <c r="F23" i="6"/>
  <c r="G23" i="6" s="1"/>
  <c r="F36" i="4"/>
  <c r="G35" i="4"/>
  <c r="G36" i="4" s="1"/>
  <c r="S22" i="4"/>
  <c r="S27" i="4" s="1"/>
  <c r="F42" i="4" s="1"/>
  <c r="V23" i="4"/>
  <c r="V22" i="4" s="1"/>
  <c r="V27" i="4" s="1"/>
  <c r="F43" i="4" l="1"/>
  <c r="G42" i="4"/>
  <c r="G43" i="4" s="1"/>
</calcChain>
</file>

<file path=xl/sharedStrings.xml><?xml version="1.0" encoding="utf-8"?>
<sst xmlns="http://schemas.openxmlformats.org/spreadsheetml/2006/main" count="390" uniqueCount="124">
  <si>
    <t>Министерство экономического развития
Российской Федерации</t>
  </si>
  <si>
    <t>Прогноз показателей инфляции на период до 2027 года</t>
  </si>
  <si>
    <t xml:space="preserve"> Базовый вариант</t>
  </si>
  <si>
    <t>отчет</t>
  </si>
  <si>
    <t>оценка</t>
  </si>
  <si>
    <t>прогноз</t>
  </si>
  <si>
    <r>
      <t xml:space="preserve">Показатели инфляции:
  </t>
    </r>
    <r>
      <rPr>
        <b/>
        <sz val="12"/>
        <color rgb="FF2C2C84"/>
        <rFont val="Arial"/>
        <family val="2"/>
        <charset val="204"/>
      </rPr>
      <t>потребительские цены (ИПЦ)</t>
    </r>
  </si>
  <si>
    <t xml:space="preserve">  рост цен на конец периода, % к декабрю предыдущего года</t>
  </si>
  <si>
    <t xml:space="preserve">  в среднем за год, %</t>
  </si>
  <si>
    <t xml:space="preserve">Товары </t>
  </si>
  <si>
    <t>продовольственные товары</t>
  </si>
  <si>
    <t xml:space="preserve">  в среднем за год, % </t>
  </si>
  <si>
    <t>без плодоовощной  продукции</t>
  </si>
  <si>
    <t>непродовольственные товары</t>
  </si>
  <si>
    <t>с исключением бензина</t>
  </si>
  <si>
    <t>Услуги</t>
  </si>
  <si>
    <t>организаций ЖКХ</t>
  </si>
  <si>
    <t>прочие услуги</t>
  </si>
  <si>
    <t>Расчет цен по проекту «Построение интеллектуальной системы учета ИСУ»</t>
  </si>
  <si>
    <t>№ п/п</t>
  </si>
  <si>
    <t>Наименование</t>
  </si>
  <si>
    <t>ООО "СтройЭнергоКом" договор от 23.12.2024 №Д/ТЭС/15/23289</t>
  </si>
  <si>
    <t>2025 г.</t>
  </si>
  <si>
    <t>2026 г.</t>
  </si>
  <si>
    <t>2027 г.</t>
  </si>
  <si>
    <t>2028 г.</t>
  </si>
  <si>
    <t>Цена, руб. без НДС</t>
  </si>
  <si>
    <t>Цена, руб. с НДС</t>
  </si>
  <si>
    <t>Темп роста индекса (дефлятора) на 2025 год</t>
  </si>
  <si>
    <t>Темп роста индекса (дефлятора) на 2026 год</t>
  </si>
  <si>
    <t>Темп роста индекса (дефлятора) на 2027 год</t>
  </si>
  <si>
    <t>1.1.</t>
  </si>
  <si>
    <t>Комплекс работ по установке однофазного ПУ (ПНР)</t>
  </si>
  <si>
    <t>1.2.</t>
  </si>
  <si>
    <t>Комплекс работ по установке однофазного ПУ (СМР), включая стоимость однофазного ПУ и автоматического выключателя</t>
  </si>
  <si>
    <t>1.3.</t>
  </si>
  <si>
    <t>Комплекс работ по установке однофазного ПУ (СМР), включая стоимость однофазного ПУ</t>
  </si>
  <si>
    <t>1.4.</t>
  </si>
  <si>
    <t>Комплекс работ по установке трёхфазного ПУ (СМР), включая стоимость трёхфазного ПУ</t>
  </si>
  <si>
    <t>3.1.</t>
  </si>
  <si>
    <t>Комплекс работ по установке трёхфазного ПУ ЮЛ (ПНР)</t>
  </si>
  <si>
    <t>3.2.</t>
  </si>
  <si>
    <t>Комплекс работ позамене трёфазного ПУ прямого включения ЮЛ (СМР), включая стоимость ПУ</t>
  </si>
  <si>
    <t>3.3.</t>
  </si>
  <si>
    <t>Комплекс работ позамене трёфазного ПУ трансформаторного включения ЮЛ (СМР), включая стоимость ПУ и трансформаторов ток</t>
  </si>
  <si>
    <t>3.4.</t>
  </si>
  <si>
    <t>Комплекс работ позамене однофазного ПУ прямого включения ЮЛ (СМР), включая стоимость ПУ</t>
  </si>
  <si>
    <t>4.1.</t>
  </si>
  <si>
    <t>Комплекс работ по установке трёхфазного ОДПУ (ПНР)</t>
  </si>
  <si>
    <t>4.2.</t>
  </si>
  <si>
    <t>Комплекс работ по установке трёхфазного ПУ прямого включения на готовом основании (ППО, ПИР, СМР), включая стоимость трёхфазного ОДПУ прямого включения</t>
  </si>
  <si>
    <t>4.3.</t>
  </si>
  <si>
    <t>Комплекс работ по установке трёхфазного ПУ трансформаторного включения на готовом основании (ППО, ПИР, СМР), включая стоимость трёхфазного ОДПУ трансформаторного включения и трансформаторов тока</t>
  </si>
  <si>
    <t>4.4.</t>
  </si>
  <si>
    <t>Комплекс работ по установке трёхфазного ОДПУ прямого включения (1 ПУ в шкафу учёта) (ППО, ПИР, СМР), включая стоимость трёхфазного ОДПУ прямого включения</t>
  </si>
  <si>
    <t>5.1.</t>
  </si>
  <si>
    <t>Комплекс работ по установке шлюза CG-ZB-02 или аналога, включая стоимость шлюза</t>
  </si>
  <si>
    <t>5.2.</t>
  </si>
  <si>
    <t>Комплекс работ по установке роутера RRC-ZB-01 или аналога, включая стоимость роутера</t>
  </si>
  <si>
    <t>Тип ПУ</t>
  </si>
  <si>
    <t>Кол-во</t>
  </si>
  <si>
    <t>Итого</t>
  </si>
  <si>
    <t>Итого ПУ</t>
  </si>
  <si>
    <t>Замена однофазного ИПУ</t>
  </si>
  <si>
    <t>Комплекс работ по замене однофазного ПУ (СМР), включая стоимость ПУ и автоматического выключателя</t>
  </si>
  <si>
    <t>шт.</t>
  </si>
  <si>
    <t>Комплекс работ по замене однофазного ПУ (СМР), включая стоимость ПУ</t>
  </si>
  <si>
    <t>Комплекс работ по замене трёхфазного ПУ (СМР), включая стоимость ПУ</t>
  </si>
  <si>
    <t>2.</t>
  </si>
  <si>
    <t>Замена ПУ ЮЛ</t>
  </si>
  <si>
    <t>2.1.</t>
  </si>
  <si>
    <t>Комплекс работ по замене трёхфазного ПУ прямого включения (СМР), включая стоимость ПУ</t>
  </si>
  <si>
    <t>2.2.</t>
  </si>
  <si>
    <t>Комплекс работ по замене трёхфазного ПУ трансформаторного включения (СМР), включая стоимость ПУ и трансформаторов ток</t>
  </si>
  <si>
    <t>2.3.</t>
  </si>
  <si>
    <t>Комплекс работ позамене однофазного ПУ  ЮЛ (СМР), включая стоимость ПУ</t>
  </si>
  <si>
    <t>Замена ОДПУ</t>
  </si>
  <si>
    <t>Комплекс работ по установке трёхфазного ОДПУ прямого включения на готовом основании (ППО, ПИР, СМР), включая стоимость трёхфазного ОДПУ прямого включения</t>
  </si>
  <si>
    <t>Комплекс работ по установке трёхфазного ОДПУ трансформаторного включения на готовом основании (ППО, ПИР, СМР), включая стоимость трёхфазного ОДПУ трансформаторного включения и трансформаторов тока</t>
  </si>
  <si>
    <t>Каналообразующее оборудование**</t>
  </si>
  <si>
    <t>Комплекс работ по установке шлюза CG-ZB-02 или аналога</t>
  </si>
  <si>
    <t xml:space="preserve">Комплекс работ по установке  роутера RRC-ZB-01 или аналога </t>
  </si>
  <si>
    <t>Пусконаладочные работы по ПУ, установленным в 2022-2027</t>
  </si>
  <si>
    <t>Комплекс работ по установке трёхфазного ОДПУ прямого включения на готовом основании (ПНР)</t>
  </si>
  <si>
    <t>5.3.</t>
  </si>
  <si>
    <t>Комплекс работ по установке трёхфазного ОДПУ  трансформаторного включения на готовом основании (ПНР)</t>
  </si>
  <si>
    <t>Итого ПУ и оборудования</t>
  </si>
  <si>
    <t>**В среднем на один МКЖД расчётное количество каналообразующего оборудования составляет одно устройство (1 шлюз или 1 роутер) на 10-14 ПУ. Данное количество является усреднённым и может отличаться в зависимости от условий в конкретном МКЖД и результатов проведения ППО</t>
  </si>
  <si>
    <t>Расчет стоимости проекта «Построение интеллектуальной системы учета ИСУ»</t>
  </si>
  <si>
    <t>ИТОГО 2025-2028</t>
  </si>
  <si>
    <t>Кол-во ПУ (оборудования), шт.</t>
  </si>
  <si>
    <t>Стоимость единицы "под ключ"</t>
  </si>
  <si>
    <t>руб. без НДС</t>
  </si>
  <si>
    <t>тыс. руб. без НДС</t>
  </si>
  <si>
    <t>тыс. руб. с НДС</t>
  </si>
  <si>
    <t>Замена ИПУ</t>
  </si>
  <si>
    <t>Комплекс работ по замене трёхфазного ПУ ЮЛ прямого включения (СМР), включая стоимость ПУ</t>
  </si>
  <si>
    <t>Комплекс работ по замене трёхфазного ПУ ЮЛ трансформаторного включения (СМР), включая стоимость ПУ и трансформаторов ток</t>
  </si>
  <si>
    <t>Пусконаладочные работы  ПУ в состав ИСУ</t>
  </si>
  <si>
    <t>Комплекс работ по установке трёхфазного ОДПУ трансформаторного включения на готовом основании (ПНР)</t>
  </si>
  <si>
    <t>6=1+2+3+4</t>
  </si>
  <si>
    <t>7=6+5</t>
  </si>
  <si>
    <t>ИТОГО стоимость проекта</t>
  </si>
  <si>
    <t xml:space="preserve">**В среднем на один МКЖД расчётное количество каналообразующего оборудования составляет одно устройство (1 шлюз или 1 роутер) на 10-14 ПУ. Данное количество является усреднённым и может отличаться в зависимости от условий в конкретном МКЖД и результатов проведения ППО </t>
  </si>
  <si>
    <t>Освоение:                                                                                                                 тыс. руб. без НДС</t>
  </si>
  <si>
    <t>№</t>
  </si>
  <si>
    <t>Статья затрат</t>
  </si>
  <si>
    <t>Период реализации (год)</t>
  </si>
  <si>
    <t>Итого:</t>
  </si>
  <si>
    <t>Затраты, относящиеся на инвестиционную деятельность</t>
  </si>
  <si>
    <t>Тарифно-балансовое решение</t>
  </si>
  <si>
    <t>Финансирование:                                                   тыс. руб. с НДС</t>
  </si>
  <si>
    <t>Ед. измерения</t>
  </si>
  <si>
    <t>Кол-во ПУ (оборудования)</t>
  </si>
  <si>
    <t xml:space="preserve">Затраты на замену </t>
  </si>
  <si>
    <t>1 кв. 2025 г.</t>
  </si>
  <si>
    <t>2 кв. 2025 г.</t>
  </si>
  <si>
    <t>3 кв. 2025 г.</t>
  </si>
  <si>
    <t>4 кв. 2025 г.</t>
  </si>
  <si>
    <t>1 кв. 2026 г.</t>
  </si>
  <si>
    <t>2 кв. 2026 г.</t>
  </si>
  <si>
    <t>3 кв. 2026 г.</t>
  </si>
  <si>
    <t>4 кв. 2026 г.</t>
  </si>
  <si>
    <t>2.2.2. Договоры\2.2.2.1. Д_ТЭС_15_23289 от 23.12.2024.pdf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</si>
</sst>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_)"/>
    <numFmt numFmtId="165" formatCode="0.0_)"/>
    <numFmt numFmtId="166" formatCode="#,##0.000"/>
    <numFmt numFmtId="167" formatCode="#,##0\ _₽"/>
    <numFmt numFmtId="168" formatCode="#,##0.00000\ _₽"/>
    <numFmt numFmtId="169" formatCode="#,##0.00\ _₽"/>
  </numFmts>
  <fonts count="28" x14ac:knownFonts="1">
    <font>
      <sz val="11"/>
      <color theme="1"/>
      <name val="Calibri"/>
      <scheme val="minor"/>
    </font>
    <font>
      <sz val="10"/>
      <name val="Arial"/>
      <family val="2"/>
      <charset val="204"/>
    </font>
    <font>
      <sz val="10"/>
      <name val="Arial Cyr"/>
    </font>
    <font>
      <sz val="10"/>
      <name val="Courier"/>
    </font>
    <font>
      <sz val="11"/>
      <name val="SimSun"/>
    </font>
    <font>
      <b/>
      <sz val="16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2C2C84"/>
      <name val="Arial"/>
      <family val="2"/>
      <charset val="204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AF1F7"/>
        <bgColor rgb="FFEAF1F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5"/>
        <bgColor indexed="5"/>
      </patternFill>
    </fill>
    <fill>
      <patternFill patternType="solid">
        <fgColor indexed="55"/>
        <bgColor indexed="55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5"/>
      </patternFill>
    </fill>
  </fills>
  <borders count="5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164" fontId="3" fillId="0" borderId="0"/>
    <xf numFmtId="164" fontId="3" fillId="0" borderId="0"/>
    <xf numFmtId="0" fontId="4" fillId="0" borderId="0"/>
    <xf numFmtId="43" fontId="25" fillId="0" borderId="0" applyFont="0" applyFill="0" applyBorder="0" applyProtection="0"/>
    <xf numFmtId="0" fontId="27" fillId="0" borderId="0" applyNumberFormat="0" applyFill="0" applyBorder="0" applyAlignment="0" applyProtection="0"/>
  </cellStyleXfs>
  <cellXfs count="214">
    <xf numFmtId="0" fontId="0" fillId="0" borderId="0" xfId="0"/>
    <xf numFmtId="164" fontId="3" fillId="0" borderId="0" xfId="9" applyNumberFormat="1" applyFont="1"/>
    <xf numFmtId="0" fontId="5" fillId="2" borderId="0" xfId="3" applyFont="1" applyFill="1" applyAlignment="1">
      <alignment horizontal="left" vertical="center" wrapText="1"/>
    </xf>
    <xf numFmtId="0" fontId="5" fillId="0" borderId="0" xfId="3" applyFont="1" applyAlignment="1">
      <alignment horizontal="center" vertical="center"/>
    </xf>
    <xf numFmtId="0" fontId="1" fillId="0" borderId="0" xfId="3" applyFont="1"/>
    <xf numFmtId="0" fontId="6" fillId="0" borderId="1" xfId="6" applyFont="1" applyBorder="1" applyAlignment="1">
      <alignment horizontal="right" indent="1"/>
    </xf>
    <xf numFmtId="164" fontId="8" fillId="0" borderId="3" xfId="9" applyNumberFormat="1" applyFont="1" applyBorder="1" applyAlignment="1" applyProtection="1">
      <alignment horizontal="center" vertical="center" wrapText="1"/>
      <protection locked="0"/>
    </xf>
    <xf numFmtId="164" fontId="8" fillId="0" borderId="4" xfId="9" applyNumberFormat="1" applyFont="1" applyBorder="1" applyAlignment="1" applyProtection="1">
      <alignment horizontal="center" vertical="center" wrapText="1"/>
      <protection locked="0"/>
    </xf>
    <xf numFmtId="164" fontId="8" fillId="0" borderId="5" xfId="9" applyNumberFormat="1" applyFont="1" applyBorder="1" applyAlignment="1" applyProtection="1">
      <alignment horizontal="center" vertical="center" wrapText="1"/>
      <protection locked="0"/>
    </xf>
    <xf numFmtId="164" fontId="8" fillId="0" borderId="7" xfId="9" applyNumberFormat="1" applyFont="1" applyBorder="1" applyAlignment="1" applyProtection="1">
      <alignment horizontal="center" vertical="center" wrapText="1"/>
      <protection locked="0"/>
    </xf>
    <xf numFmtId="164" fontId="8" fillId="0" borderId="8" xfId="9" applyNumberFormat="1" applyFont="1" applyBorder="1" applyAlignment="1" applyProtection="1">
      <alignment horizontal="center" vertical="center" wrapText="1"/>
      <protection locked="0"/>
    </xf>
    <xf numFmtId="164" fontId="8" fillId="0" borderId="9" xfId="9" applyNumberFormat="1" applyFont="1" applyBorder="1" applyAlignment="1" applyProtection="1">
      <alignment horizontal="center" vertical="center" wrapText="1"/>
      <protection locked="0"/>
    </xf>
    <xf numFmtId="164" fontId="3" fillId="3" borderId="0" xfId="9" applyNumberFormat="1" applyFont="1" applyFill="1"/>
    <xf numFmtId="0" fontId="9" fillId="2" borderId="10" xfId="3" applyFont="1" applyFill="1" applyBorder="1" applyAlignment="1">
      <alignment horizontal="left" vertical="center" wrapText="1" indent="1"/>
    </xf>
    <xf numFmtId="1" fontId="10" fillId="2" borderId="11" xfId="3" applyNumberFormat="1" applyFont="1" applyFill="1" applyBorder="1" applyAlignment="1">
      <alignment horizontal="right" vertical="center"/>
    </xf>
    <xf numFmtId="1" fontId="10" fillId="2" borderId="12" xfId="3" applyNumberFormat="1" applyFont="1" applyFill="1" applyBorder="1" applyAlignment="1">
      <alignment horizontal="right" vertical="center"/>
    </xf>
    <xf numFmtId="1" fontId="10" fillId="2" borderId="13" xfId="3" applyNumberFormat="1" applyFont="1" applyFill="1" applyBorder="1" applyAlignment="1">
      <alignment horizontal="right" vertical="center"/>
    </xf>
    <xf numFmtId="164" fontId="7" fillId="0" borderId="14" xfId="9" applyNumberFormat="1" applyFont="1" applyBorder="1" applyAlignment="1">
      <alignment vertical="center"/>
    </xf>
    <xf numFmtId="165" fontId="7" fillId="0" borderId="15" xfId="9" applyNumberFormat="1" applyFont="1" applyBorder="1" applyAlignment="1">
      <alignment horizontal="center" vertical="center"/>
    </xf>
    <xf numFmtId="165" fontId="7" fillId="0" borderId="16" xfId="9" applyNumberFormat="1" applyFont="1" applyBorder="1" applyAlignment="1">
      <alignment horizontal="center" vertical="center"/>
    </xf>
    <xf numFmtId="165" fontId="7" fillId="0" borderId="17" xfId="9" applyNumberFormat="1" applyFont="1" applyBorder="1" applyAlignment="1">
      <alignment horizontal="center" vertical="center"/>
    </xf>
    <xf numFmtId="165" fontId="7" fillId="4" borderId="15" xfId="9" applyNumberFormat="1" applyFont="1" applyFill="1" applyBorder="1" applyAlignment="1">
      <alignment horizontal="center" vertical="center"/>
    </xf>
    <xf numFmtId="165" fontId="7" fillId="4" borderId="16" xfId="9" applyNumberFormat="1" applyFont="1" applyFill="1" applyBorder="1" applyAlignment="1">
      <alignment horizontal="center" vertical="center"/>
    </xf>
    <xf numFmtId="165" fontId="7" fillId="4" borderId="17" xfId="9" applyNumberFormat="1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left" vertical="center" wrapText="1" indent="3"/>
    </xf>
    <xf numFmtId="1" fontId="10" fillId="2" borderId="19" xfId="3" applyNumberFormat="1" applyFont="1" applyFill="1" applyBorder="1" applyAlignment="1">
      <alignment horizontal="center" vertical="center"/>
    </xf>
    <xf numFmtId="1" fontId="10" fillId="2" borderId="20" xfId="3" applyNumberFormat="1" applyFont="1" applyFill="1" applyBorder="1" applyAlignment="1">
      <alignment horizontal="center" vertical="center"/>
    </xf>
    <xf numFmtId="1" fontId="10" fillId="2" borderId="21" xfId="3" applyNumberFormat="1" applyFont="1" applyFill="1" applyBorder="1" applyAlignment="1">
      <alignment horizontal="center" vertical="center"/>
    </xf>
    <xf numFmtId="164" fontId="7" fillId="0" borderId="22" xfId="9" applyNumberFormat="1" applyFont="1" applyBorder="1" applyAlignment="1">
      <alignment vertical="center"/>
    </xf>
    <xf numFmtId="165" fontId="7" fillId="0" borderId="23" xfId="9" applyNumberFormat="1" applyFont="1" applyBorder="1" applyAlignment="1">
      <alignment horizontal="center" vertical="center"/>
    </xf>
    <xf numFmtId="165" fontId="7" fillId="0" borderId="24" xfId="9" applyNumberFormat="1" applyFont="1" applyBorder="1" applyAlignment="1">
      <alignment horizontal="center" vertical="center"/>
    </xf>
    <xf numFmtId="165" fontId="7" fillId="0" borderId="25" xfId="9" applyNumberFormat="1" applyFont="1" applyBorder="1" applyAlignment="1">
      <alignment horizontal="center" vertical="center"/>
    </xf>
    <xf numFmtId="0" fontId="10" fillId="2" borderId="18" xfId="3" applyFont="1" applyFill="1" applyBorder="1" applyAlignment="1">
      <alignment horizontal="left" vertical="center" wrapText="1" indent="4"/>
    </xf>
    <xf numFmtId="0" fontId="11" fillId="2" borderId="18" xfId="3" applyFont="1" applyFill="1" applyBorder="1" applyAlignment="1">
      <alignment horizontal="left" vertical="center" wrapText="1" indent="5"/>
    </xf>
    <xf numFmtId="164" fontId="3" fillId="0" borderId="26" xfId="9" applyNumberFormat="1" applyFont="1" applyBorder="1"/>
    <xf numFmtId="164" fontId="7" fillId="0" borderId="6" xfId="9" applyNumberFormat="1" applyFont="1" applyBorder="1" applyAlignment="1">
      <alignment vertical="center"/>
    </xf>
    <xf numFmtId="165" fontId="7" fillId="0" borderId="7" xfId="9" applyNumberFormat="1" applyFont="1" applyBorder="1" applyAlignment="1">
      <alignment horizontal="center" vertical="center"/>
    </xf>
    <xf numFmtId="165" fontId="7" fillId="0" borderId="8" xfId="9" applyNumberFormat="1" applyFont="1" applyBorder="1" applyAlignment="1">
      <alignment horizontal="center" vertical="center"/>
    </xf>
    <xf numFmtId="165" fontId="7" fillId="0" borderId="9" xfId="9" applyNumberFormat="1" applyFont="1" applyBorder="1" applyAlignment="1">
      <alignment horizontal="center" vertical="center"/>
    </xf>
    <xf numFmtId="0" fontId="12" fillId="0" borderId="0" xfId="0" applyFont="1"/>
    <xf numFmtId="0" fontId="16" fillId="0" borderId="33" xfId="0" applyFont="1" applyBorder="1" applyAlignment="1">
      <alignment vertical="center" wrapText="1"/>
    </xf>
    <xf numFmtId="4" fontId="16" fillId="0" borderId="33" xfId="0" applyNumberFormat="1" applyFont="1" applyBorder="1" applyAlignment="1">
      <alignment horizontal="center" vertical="center" wrapText="1"/>
    </xf>
    <xf numFmtId="4" fontId="15" fillId="0" borderId="33" xfId="0" applyNumberFormat="1" applyFont="1" applyBorder="1" applyAlignment="1">
      <alignment horizontal="center" vertical="center"/>
    </xf>
    <xf numFmtId="0" fontId="16" fillId="0" borderId="28" xfId="0" applyFont="1" applyBorder="1" applyAlignment="1">
      <alignment vertical="center" wrapText="1"/>
    </xf>
    <xf numFmtId="166" fontId="15" fillId="0" borderId="33" xfId="0" applyNumberFormat="1" applyFont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3" fontId="15" fillId="0" borderId="33" xfId="0" applyNumberFormat="1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3" fontId="17" fillId="0" borderId="33" xfId="0" applyNumberFormat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3" fontId="16" fillId="0" borderId="33" xfId="0" applyNumberFormat="1" applyFont="1" applyBorder="1" applyAlignment="1">
      <alignment horizontal="center" vertical="center" wrapText="1"/>
    </xf>
    <xf numFmtId="0" fontId="17" fillId="0" borderId="33" xfId="0" applyFont="1" applyBorder="1" applyAlignment="1">
      <alignment vertical="center" wrapText="1"/>
    </xf>
    <xf numFmtId="3" fontId="17" fillId="0" borderId="0" xfId="0" applyNumberFormat="1" applyFont="1" applyAlignment="1">
      <alignment horizontal="center" vertical="center" wrapText="1"/>
    </xf>
    <xf numFmtId="3" fontId="16" fillId="0" borderId="0" xfId="0" applyNumberFormat="1" applyFont="1" applyAlignment="1">
      <alignment horizontal="center" vertical="center" wrapText="1"/>
    </xf>
    <xf numFmtId="16" fontId="16" fillId="0" borderId="33" xfId="0" applyNumberFormat="1" applyFont="1" applyBorder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/>
    </xf>
    <xf numFmtId="3" fontId="15" fillId="0" borderId="26" xfId="0" applyNumberFormat="1" applyFont="1" applyBorder="1" applyAlignment="1">
      <alignment horizontal="center" vertical="center"/>
    </xf>
    <xf numFmtId="3" fontId="16" fillId="0" borderId="38" xfId="0" applyNumberFormat="1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8" fillId="0" borderId="0" xfId="0" applyFont="1"/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5" xfId="0" applyFont="1" applyBorder="1" applyAlignment="1">
      <alignment horizontal="center" vertical="center" wrapText="1"/>
    </xf>
    <xf numFmtId="3" fontId="17" fillId="0" borderId="44" xfId="0" applyNumberFormat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167" fontId="17" fillId="0" borderId="44" xfId="0" applyNumberFormat="1" applyFont="1" applyBorder="1" applyAlignment="1">
      <alignment horizontal="center" vertical="center" wrapText="1"/>
    </xf>
    <xf numFmtId="167" fontId="17" fillId="0" borderId="26" xfId="0" applyNumberFormat="1" applyFont="1" applyBorder="1" applyAlignment="1">
      <alignment horizontal="center" vertical="center" wrapText="1"/>
    </xf>
    <xf numFmtId="3" fontId="17" fillId="0" borderId="23" xfId="0" applyNumberFormat="1" applyFont="1" applyBorder="1" applyAlignment="1">
      <alignment horizontal="center" vertical="center" wrapText="1"/>
    </xf>
    <xf numFmtId="3" fontId="17" fillId="0" borderId="24" xfId="0" applyNumberFormat="1" applyFont="1" applyBorder="1" applyAlignment="1">
      <alignment horizontal="center" vertical="center" wrapText="1"/>
    </xf>
    <xf numFmtId="3" fontId="17" fillId="0" borderId="45" xfId="0" applyNumberFormat="1" applyFont="1" applyBorder="1" applyAlignment="1">
      <alignment horizontal="center" vertical="center" wrapText="1"/>
    </xf>
    <xf numFmtId="3" fontId="18" fillId="0" borderId="0" xfId="0" applyNumberFormat="1" applyFont="1"/>
    <xf numFmtId="3" fontId="16" fillId="0" borderId="34" xfId="0" applyNumberFormat="1" applyFont="1" applyBorder="1" applyAlignment="1">
      <alignment horizontal="center" vertical="center" wrapText="1"/>
    </xf>
    <xf numFmtId="167" fontId="16" fillId="0" borderId="33" xfId="0" applyNumberFormat="1" applyFont="1" applyBorder="1" applyAlignment="1">
      <alignment horizontal="center" vertical="center" wrapText="1"/>
    </xf>
    <xf numFmtId="167" fontId="16" fillId="0" borderId="42" xfId="0" applyNumberFormat="1" applyFont="1" applyBorder="1" applyAlignment="1">
      <alignment horizontal="center" vertical="center" wrapText="1"/>
    </xf>
    <xf numFmtId="3" fontId="15" fillId="0" borderId="32" xfId="0" applyNumberFormat="1" applyFont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 wrapText="1"/>
    </xf>
    <xf numFmtId="3" fontId="16" fillId="0" borderId="32" xfId="0" applyNumberFormat="1" applyFont="1" applyBorder="1" applyAlignment="1">
      <alignment horizontal="center" vertical="center" wrapText="1"/>
    </xf>
    <xf numFmtId="3" fontId="15" fillId="0" borderId="35" xfId="0" applyNumberFormat="1" applyFont="1" applyBorder="1" applyAlignment="1">
      <alignment horizontal="center" vertical="center"/>
    </xf>
    <xf numFmtId="3" fontId="16" fillId="0" borderId="21" xfId="0" applyNumberFormat="1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46" xfId="0" applyFont="1" applyBorder="1" applyAlignment="1">
      <alignment vertical="center" wrapText="1"/>
    </xf>
    <xf numFmtId="0" fontId="17" fillId="0" borderId="35" xfId="0" applyFont="1" applyBorder="1" applyAlignment="1">
      <alignment horizontal="center" vertical="center" wrapText="1"/>
    </xf>
    <xf numFmtId="3" fontId="17" fillId="0" borderId="34" xfId="0" applyNumberFormat="1" applyFont="1" applyBorder="1" applyAlignment="1">
      <alignment horizontal="center" vertical="center" wrapText="1"/>
    </xf>
    <xf numFmtId="4" fontId="14" fillId="0" borderId="33" xfId="0" applyNumberFormat="1" applyFont="1" applyBorder="1" applyAlignment="1">
      <alignment horizontal="center" vertical="center"/>
    </xf>
    <xf numFmtId="167" fontId="17" fillId="0" borderId="33" xfId="0" applyNumberFormat="1" applyFont="1" applyBorder="1" applyAlignment="1">
      <alignment horizontal="center" vertical="center" wrapText="1"/>
    </xf>
    <xf numFmtId="167" fontId="17" fillId="0" borderId="20" xfId="0" applyNumberFormat="1" applyFont="1" applyBorder="1" applyAlignment="1">
      <alignment horizontal="center" vertical="center" wrapText="1"/>
    </xf>
    <xf numFmtId="3" fontId="17" fillId="0" borderId="32" xfId="0" applyNumberFormat="1" applyFont="1" applyBorder="1" applyAlignment="1">
      <alignment horizontal="center" vertical="center" wrapText="1"/>
    </xf>
    <xf numFmtId="3" fontId="17" fillId="0" borderId="21" xfId="0" applyNumberFormat="1" applyFont="1" applyBorder="1" applyAlignment="1">
      <alignment horizontal="center" vertical="center" wrapText="1"/>
    </xf>
    <xf numFmtId="3" fontId="17" fillId="0" borderId="18" xfId="0" applyNumberFormat="1" applyFont="1" applyBorder="1" applyAlignment="1">
      <alignment horizontal="center" vertical="center" wrapText="1"/>
    </xf>
    <xf numFmtId="16" fontId="16" fillId="0" borderId="32" xfId="0" applyNumberFormat="1" applyFont="1" applyBorder="1" applyAlignment="1">
      <alignment horizontal="center" vertical="center" wrapText="1"/>
    </xf>
    <xf numFmtId="167" fontId="17" fillId="0" borderId="34" xfId="0" applyNumberFormat="1" applyFont="1" applyBorder="1" applyAlignment="1">
      <alignment horizontal="center" vertical="center" wrapText="1"/>
    </xf>
    <xf numFmtId="4" fontId="15" fillId="0" borderId="42" xfId="0" applyNumberFormat="1" applyFont="1" applyBorder="1" applyAlignment="1">
      <alignment horizontal="center" vertical="center"/>
    </xf>
    <xf numFmtId="167" fontId="16" fillId="0" borderId="20" xfId="0" applyNumberFormat="1" applyFont="1" applyBorder="1" applyAlignment="1">
      <alignment horizontal="center" vertical="center" wrapText="1"/>
    </xf>
    <xf numFmtId="4" fontId="14" fillId="0" borderId="42" xfId="0" applyNumberFormat="1" applyFont="1" applyBorder="1" applyAlignment="1">
      <alignment horizontal="center" vertical="center"/>
    </xf>
    <xf numFmtId="0" fontId="18" fillId="0" borderId="42" xfId="0" applyFont="1" applyBorder="1"/>
    <xf numFmtId="3" fontId="17" fillId="0" borderId="19" xfId="0" applyNumberFormat="1" applyFont="1" applyBorder="1" applyAlignment="1">
      <alignment horizontal="center" vertical="center" wrapText="1"/>
    </xf>
    <xf numFmtId="167" fontId="17" fillId="0" borderId="42" xfId="0" applyNumberFormat="1" applyFont="1" applyBorder="1" applyAlignment="1">
      <alignment horizontal="center" vertical="center" wrapText="1"/>
    </xf>
    <xf numFmtId="3" fontId="17" fillId="0" borderId="35" xfId="0" applyNumberFormat="1" applyFont="1" applyBorder="1" applyAlignment="1">
      <alignment horizontal="center" vertical="center" wrapText="1"/>
    </xf>
    <xf numFmtId="168" fontId="17" fillId="0" borderId="33" xfId="0" applyNumberFormat="1" applyFont="1" applyBorder="1" applyAlignment="1">
      <alignment horizontal="center" vertical="center" wrapText="1"/>
    </xf>
    <xf numFmtId="168" fontId="17" fillId="0" borderId="42" xfId="0" applyNumberFormat="1" applyFont="1" applyBorder="1" applyAlignment="1">
      <alignment horizontal="center" vertical="center" wrapText="1"/>
    </xf>
    <xf numFmtId="168" fontId="17" fillId="0" borderId="32" xfId="0" applyNumberFormat="1" applyFont="1" applyBorder="1" applyAlignment="1">
      <alignment horizontal="center" vertical="center" wrapText="1"/>
    </xf>
    <xf numFmtId="168" fontId="15" fillId="0" borderId="33" xfId="0" applyNumberFormat="1" applyFont="1" applyBorder="1" applyAlignment="1">
      <alignment horizontal="center" vertical="center"/>
    </xf>
    <xf numFmtId="168" fontId="17" fillId="0" borderId="35" xfId="0" applyNumberFormat="1" applyFont="1" applyBorder="1" applyAlignment="1">
      <alignment horizontal="center" vertical="center" wrapText="1"/>
    </xf>
    <xf numFmtId="0" fontId="0" fillId="0" borderId="27" xfId="0" applyBorder="1"/>
    <xf numFmtId="0" fontId="0" fillId="0" borderId="29" xfId="0" applyBorder="1"/>
    <xf numFmtId="0" fontId="0" fillId="0" borderId="36" xfId="0" applyBorder="1"/>
    <xf numFmtId="0" fontId="0" fillId="0" borderId="28" xfId="0" applyBorder="1"/>
    <xf numFmtId="168" fontId="0" fillId="0" borderId="28" xfId="0" applyNumberFormat="1" applyBorder="1"/>
    <xf numFmtId="168" fontId="0" fillId="0" borderId="43" xfId="0" applyNumberFormat="1" applyBorder="1"/>
    <xf numFmtId="10" fontId="0" fillId="0" borderId="28" xfId="0" applyNumberFormat="1" applyBorder="1"/>
    <xf numFmtId="10" fontId="0" fillId="0" borderId="29" xfId="0" applyNumberFormat="1" applyBorder="1"/>
    <xf numFmtId="169" fontId="0" fillId="0" borderId="0" xfId="0" applyNumberFormat="1"/>
    <xf numFmtId="0" fontId="19" fillId="0" borderId="0" xfId="0" applyFont="1"/>
    <xf numFmtId="0" fontId="20" fillId="5" borderId="33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justify" vertical="center" wrapText="1"/>
    </xf>
    <xf numFmtId="16" fontId="20" fillId="0" borderId="33" xfId="0" applyNumberFormat="1" applyFont="1" applyBorder="1" applyAlignment="1">
      <alignment horizontal="justify" vertical="center" wrapText="1"/>
    </xf>
    <xf numFmtId="0" fontId="15" fillId="0" borderId="33" xfId="0" applyFont="1" applyBorder="1" applyAlignment="1">
      <alignment vertical="center" wrapText="1"/>
    </xf>
    <xf numFmtId="3" fontId="16" fillId="0" borderId="33" xfId="0" applyNumberFormat="1" applyFont="1" applyBorder="1" applyAlignment="1">
      <alignment horizontal="center" vertical="center"/>
    </xf>
    <xf numFmtId="0" fontId="19" fillId="6" borderId="33" xfId="0" applyFont="1" applyFill="1" applyBorder="1" applyAlignment="1">
      <alignment horizontal="justify" vertical="center" wrapText="1"/>
    </xf>
    <xf numFmtId="0" fontId="20" fillId="6" borderId="33" xfId="0" applyFont="1" applyFill="1" applyBorder="1" applyAlignment="1">
      <alignment horizontal="right" vertical="center" wrapText="1"/>
    </xf>
    <xf numFmtId="3" fontId="17" fillId="6" borderId="33" xfId="0" applyNumberFormat="1" applyFont="1" applyFill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left" vertical="center" wrapText="1" shrinkToFit="1"/>
    </xf>
    <xf numFmtId="0" fontId="21" fillId="0" borderId="48" xfId="0" applyFont="1" applyBorder="1" applyAlignment="1">
      <alignment horizontal="center" vertical="center" wrapText="1"/>
    </xf>
    <xf numFmtId="3" fontId="21" fillId="0" borderId="48" xfId="0" applyNumberFormat="1" applyFont="1" applyBorder="1" applyAlignment="1">
      <alignment horizontal="center" vertical="center" wrapText="1"/>
    </xf>
    <xf numFmtId="4" fontId="22" fillId="0" borderId="48" xfId="0" applyNumberFormat="1" applyFont="1" applyBorder="1" applyAlignment="1">
      <alignment horizontal="center" vertical="center"/>
    </xf>
    <xf numFmtId="3" fontId="22" fillId="0" borderId="48" xfId="0" applyNumberFormat="1" applyFont="1" applyBorder="1" applyAlignment="1">
      <alignment horizontal="center" vertical="center"/>
    </xf>
    <xf numFmtId="3" fontId="22" fillId="0" borderId="48" xfId="0" applyNumberFormat="1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8" xfId="0" applyFont="1" applyBorder="1" applyAlignment="1">
      <alignment vertical="center" wrapText="1" shrinkToFit="1"/>
    </xf>
    <xf numFmtId="0" fontId="17" fillId="0" borderId="48" xfId="0" applyFont="1" applyBorder="1" applyAlignment="1">
      <alignment vertical="center" wrapText="1" shrinkToFit="1"/>
    </xf>
    <xf numFmtId="0" fontId="23" fillId="0" borderId="48" xfId="0" applyFont="1" applyBorder="1" applyAlignment="1">
      <alignment horizontal="center" vertical="center" wrapText="1"/>
    </xf>
    <xf numFmtId="16" fontId="16" fillId="0" borderId="48" xfId="0" applyNumberFormat="1" applyFont="1" applyBorder="1" applyAlignment="1">
      <alignment horizontal="center" vertical="center" wrapText="1"/>
    </xf>
    <xf numFmtId="0" fontId="17" fillId="0" borderId="48" xfId="0" applyFont="1" applyBorder="1" applyAlignment="1">
      <alignment vertical="center" wrapText="1"/>
    </xf>
    <xf numFmtId="0" fontId="16" fillId="0" borderId="48" xfId="0" applyFont="1" applyBorder="1" applyAlignment="1">
      <alignment vertical="center" wrapText="1"/>
    </xf>
    <xf numFmtId="0" fontId="0" fillId="0" borderId="48" xfId="0" applyBorder="1"/>
    <xf numFmtId="167" fontId="21" fillId="0" borderId="48" xfId="0" applyNumberFormat="1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3" fontId="23" fillId="0" borderId="48" xfId="0" applyNumberFormat="1" applyFont="1" applyBorder="1" applyAlignment="1">
      <alignment horizontal="center" vertical="center" wrapText="1"/>
    </xf>
    <xf numFmtId="4" fontId="24" fillId="0" borderId="48" xfId="0" applyNumberFormat="1" applyFont="1" applyBorder="1" applyAlignment="1">
      <alignment horizontal="center" vertical="center"/>
    </xf>
    <xf numFmtId="3" fontId="24" fillId="0" borderId="48" xfId="0" applyNumberFormat="1" applyFont="1" applyBorder="1" applyAlignment="1">
      <alignment horizontal="center" vertical="center"/>
    </xf>
    <xf numFmtId="3" fontId="24" fillId="0" borderId="48" xfId="0" applyNumberFormat="1" applyFont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 wrapText="1"/>
    </xf>
    <xf numFmtId="16" fontId="16" fillId="0" borderId="48" xfId="0" applyNumberFormat="1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3" fontId="21" fillId="0" borderId="52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 shrinkToFit="1"/>
    </xf>
    <xf numFmtId="0" fontId="15" fillId="0" borderId="0" xfId="0" applyFont="1" applyBorder="1"/>
    <xf numFmtId="0" fontId="17" fillId="7" borderId="33" xfId="0" applyFont="1" applyFill="1" applyBorder="1" applyAlignment="1">
      <alignment vertical="center" wrapText="1"/>
    </xf>
    <xf numFmtId="0" fontId="27" fillId="0" borderId="33" xfId="12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 vertical="center"/>
    </xf>
    <xf numFmtId="0" fontId="6" fillId="0" borderId="1" xfId="6" applyFont="1" applyBorder="1" applyAlignment="1">
      <alignment horizontal="right" indent="1"/>
    </xf>
    <xf numFmtId="164" fontId="7" fillId="0" borderId="2" xfId="9" applyNumberFormat="1" applyFont="1" applyBorder="1" applyAlignment="1">
      <alignment horizontal="left" vertical="center"/>
    </xf>
    <xf numFmtId="164" fontId="7" fillId="0" borderId="6" xfId="9" applyNumberFormat="1" applyFont="1" applyBorder="1" applyAlignment="1">
      <alignment horizontal="left" vertical="center"/>
    </xf>
    <xf numFmtId="164" fontId="8" fillId="0" borderId="8" xfId="9" applyNumberFormat="1" applyFont="1" applyBorder="1" applyAlignment="1" applyProtection="1">
      <alignment horizontal="center" vertical="center" wrapText="1"/>
      <protection locked="0"/>
    </xf>
    <xf numFmtId="164" fontId="8" fillId="0" borderId="9" xfId="9" applyNumberFormat="1" applyFont="1" applyBorder="1" applyAlignment="1" applyProtection="1">
      <alignment horizontal="center" vertical="center" wrapText="1"/>
      <protection locked="0"/>
    </xf>
    <xf numFmtId="0" fontId="15" fillId="0" borderId="4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166" fontId="14" fillId="0" borderId="33" xfId="0" applyNumberFormat="1" applyFont="1" applyBorder="1" applyAlignment="1">
      <alignment horizontal="center" vertical="center"/>
    </xf>
    <xf numFmtId="0" fontId="15" fillId="0" borderId="38" xfId="0" applyFont="1" applyBorder="1" applyAlignment="1">
      <alignment horizontal="center" wrapText="1" shrinkToFit="1"/>
    </xf>
    <xf numFmtId="0" fontId="20" fillId="0" borderId="33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0" fillId="5" borderId="33" xfId="0" applyFont="1" applyFill="1" applyBorder="1" applyAlignment="1">
      <alignment horizontal="justify" vertical="center" wrapText="1"/>
    </xf>
    <xf numFmtId="0" fontId="20" fillId="5" borderId="33" xfId="0" applyFont="1" applyFill="1" applyBorder="1" applyAlignment="1">
      <alignment horizontal="center" vertical="center" wrapText="1"/>
    </xf>
    <xf numFmtId="0" fontId="20" fillId="5" borderId="47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20" fillId="5" borderId="3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6" fillId="0" borderId="34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7" fillId="0" borderId="3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/>
    </xf>
    <xf numFmtId="0" fontId="14" fillId="0" borderId="41" xfId="0" applyFont="1" applyBorder="1" applyAlignment="1">
      <alignment horizontal="center"/>
    </xf>
    <xf numFmtId="0" fontId="21" fillId="0" borderId="42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</cellXfs>
  <cellStyles count="13">
    <cellStyle name="Normal_SHEET" xfId="1"/>
    <cellStyle name="Гиперссылка" xfId="12" builtinId="8"/>
    <cellStyle name="Обычный" xfId="0" builtinId="0"/>
    <cellStyle name="Обычный 100" xfId="2"/>
    <cellStyle name="Обычный 100 2" xfId="3"/>
    <cellStyle name="Обычный 19" xfId="4"/>
    <cellStyle name="Обычный 2" xfId="5"/>
    <cellStyle name="Обычный 2 3" xfId="6"/>
    <cellStyle name="Обычный 3" xfId="7"/>
    <cellStyle name="Обычный 4" xfId="8"/>
    <cellStyle name="Обычный 4 2" xfId="9"/>
    <cellStyle name="Обычный 5" xfId="10"/>
    <cellStyle name="Финансовый 2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657488</xdr:colOff>
      <xdr:row>0</xdr:row>
      <xdr:rowOff>52916</xdr:rowOff>
    </xdr:from>
    <xdr:to>
      <xdr:col>5</xdr:col>
      <xdr:colOff>571631</xdr:colOff>
      <xdr:row>1</xdr:row>
      <xdr:rowOff>591285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715515" y="52916"/>
          <a:ext cx="657091" cy="690769"/>
        </a:xfrm>
        <a:prstGeom prst="rect">
          <a:avLst/>
        </a:prstGeom>
      </xdr:spPr>
    </xdr:pic>
    <xdr:clientData/>
  </xdr:twoCellAnchor>
  <xdr:twoCellAnchor editAs="oneCell">
    <xdr:from>
      <xdr:col>5</xdr:col>
      <xdr:colOff>22412</xdr:colOff>
      <xdr:row>0</xdr:row>
      <xdr:rowOff>22412</xdr:rowOff>
    </xdr:from>
    <xdr:to>
      <xdr:col>5</xdr:col>
      <xdr:colOff>677342</xdr:colOff>
      <xdr:row>1</xdr:row>
      <xdr:rowOff>542785</xdr:rowOff>
    </xdr:to>
    <xdr:pic>
      <xdr:nvPicPr>
        <xdr:cNvPr id="3" name="Picture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8623487" y="22412"/>
          <a:ext cx="654930" cy="67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6%20--%20&#1044;&#1077;&#1087;&#1072;&#1088;&#1090;&#1072;&#1084;&#1077;&#1085;&#1090;%20&#1101;&#1082;&#1086;&#1085;&#1086;&#1084;&#1080;&#1082;&#1080;%20&#1080;%20&#1092;&#1080;&#1085;&#1072;&#1085;&#1089;&#1086;&#1074;\05%20--%20(&#1044;&#1083;&#1103;%20&#1085;&#1072;&#1087;&#1088;&#1072;&#1074;&#1083;&#1077;&#1085;&#1080;&#1103;%20&#1048;&#1055;)\&#1058;&#1072;&#1088;&#1080;&#1092;%202025\8.%20&#1057;&#1086;&#1075;&#1083;&#1072;&#1089;&#1080;&#1090;&#1077;&#1083;&#1100;&#1085;&#1086;&#1077;%20&#1089;&#1086;&#1074;&#1077;&#1097;&#1072;&#1085;&#1080;&#1077;_02.10.2024\&#1044;&#1086;&#1087;&#1086;&#1083;&#1085;&#1080;&#1090;&#1077;&#1083;&#1100;&#1085;&#1072;&#1103;%20&#1080;&#1085;&#1092;&#1086;&#1088;&#1084;&#1072;&#1094;&#1080;&#1103;%20&#1087;&#1086;%20&#1087;&#1088;&#1086;&#1077;&#1082;&#1090;&#1072;&#1084;\N_1\&#1075;&#1088;&#1072;&#1092;&#1080;&#1082;&#1080;%20&#1079;&#1072;&#1084;&#1077;&#1085;&#1099;_16.10.24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/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/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2.2.2.%20&#1044;&#1086;&#1075;&#1086;&#1074;&#1086;&#1088;&#1099;\2.2.2.1.%20&#1044;_&#1058;&#1069;&#1057;_15_23289%20&#1086;&#1090;%2023.12.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BreakPreview" topLeftCell="A7" zoomScale="90" workbookViewId="0">
      <selection activeCell="G9" sqref="G9"/>
    </sheetView>
  </sheetViews>
  <sheetFormatPr defaultColWidth="8.28515625" defaultRowHeight="13.5" x14ac:dyDescent="0.25"/>
  <cols>
    <col min="1" max="1" width="72.42578125" style="1" customWidth="1"/>
    <col min="2" max="7" width="11.140625" style="1" customWidth="1"/>
    <col min="8" max="16384" width="8.28515625" style="1"/>
  </cols>
  <sheetData>
    <row r="1" spans="1:7" ht="12" customHeight="1" x14ac:dyDescent="0.25">
      <c r="A1" s="160" t="s">
        <v>0</v>
      </c>
      <c r="B1" s="160"/>
      <c r="C1" s="160"/>
      <c r="D1" s="160"/>
      <c r="E1" s="160"/>
      <c r="F1" s="160"/>
      <c r="G1" s="2"/>
    </row>
    <row r="2" spans="1:7" ht="48" customHeight="1" x14ac:dyDescent="0.25">
      <c r="A2" s="160"/>
      <c r="B2" s="160"/>
      <c r="C2" s="160"/>
      <c r="D2" s="160"/>
      <c r="E2" s="160"/>
      <c r="F2" s="160"/>
      <c r="G2" s="2"/>
    </row>
    <row r="3" spans="1:7" ht="37.5" customHeight="1" x14ac:dyDescent="0.25">
      <c r="A3" s="161" t="s">
        <v>1</v>
      </c>
      <c r="B3" s="162"/>
      <c r="C3" s="162"/>
      <c r="D3" s="162"/>
      <c r="E3" s="162"/>
      <c r="F3" s="162"/>
      <c r="G3" s="3"/>
    </row>
    <row r="4" spans="1:7" s="4" customFormat="1" ht="19.5" customHeight="1" x14ac:dyDescent="0.3">
      <c r="A4" s="163" t="s">
        <v>2</v>
      </c>
      <c r="B4" s="163"/>
      <c r="C4" s="163"/>
      <c r="D4" s="163"/>
      <c r="E4" s="163"/>
      <c r="F4" s="163"/>
      <c r="G4" s="5"/>
    </row>
    <row r="5" spans="1:7" ht="18.75" customHeight="1" x14ac:dyDescent="0.25">
      <c r="A5" s="164"/>
      <c r="B5" s="6">
        <v>2023</v>
      </c>
      <c r="C5" s="7">
        <v>2024</v>
      </c>
      <c r="D5" s="7">
        <v>2025</v>
      </c>
      <c r="E5" s="7">
        <v>2026</v>
      </c>
      <c r="F5" s="8">
        <v>2027</v>
      </c>
      <c r="G5" s="8">
        <v>2028</v>
      </c>
    </row>
    <row r="6" spans="1:7" ht="18.75" customHeight="1" x14ac:dyDescent="0.25">
      <c r="A6" s="165"/>
      <c r="B6" s="9" t="s">
        <v>3</v>
      </c>
      <c r="C6" s="10" t="s">
        <v>4</v>
      </c>
      <c r="D6" s="166" t="s">
        <v>5</v>
      </c>
      <c r="E6" s="166"/>
      <c r="F6" s="167"/>
      <c r="G6" s="11"/>
    </row>
    <row r="7" spans="1:7" s="12" customFormat="1" ht="31.5" x14ac:dyDescent="0.25">
      <c r="A7" s="13" t="s">
        <v>6</v>
      </c>
      <c r="B7" s="14"/>
      <c r="C7" s="15"/>
      <c r="D7" s="15"/>
      <c r="E7" s="15"/>
      <c r="F7" s="16"/>
      <c r="G7" s="16"/>
    </row>
    <row r="8" spans="1:7" ht="15" x14ac:dyDescent="0.25">
      <c r="A8" s="17" t="s">
        <v>7</v>
      </c>
      <c r="B8" s="18">
        <v>107.41670127203899</v>
      </c>
      <c r="C8" s="19">
        <v>107.33995445016075</v>
      </c>
      <c r="D8" s="19">
        <v>104.45662823017655</v>
      </c>
      <c r="E8" s="19">
        <v>104.02595594858521</v>
      </c>
      <c r="F8" s="20">
        <v>104.03821609114341</v>
      </c>
      <c r="G8" s="20"/>
    </row>
    <row r="9" spans="1:7" ht="15" x14ac:dyDescent="0.25">
      <c r="A9" s="17" t="s">
        <v>8</v>
      </c>
      <c r="B9" s="21">
        <v>105.85945622434497</v>
      </c>
      <c r="C9" s="22">
        <v>108.00955064862646</v>
      </c>
      <c r="D9" s="22">
        <v>105.79080583016247</v>
      </c>
      <c r="E9" s="22">
        <v>104.27035520131041</v>
      </c>
      <c r="F9" s="23">
        <v>104</v>
      </c>
      <c r="G9" s="23">
        <v>104</v>
      </c>
    </row>
    <row r="10" spans="1:7" s="12" customFormat="1" ht="15.75" x14ac:dyDescent="0.25">
      <c r="A10" s="24" t="s">
        <v>9</v>
      </c>
      <c r="B10" s="25"/>
      <c r="C10" s="26"/>
      <c r="D10" s="26"/>
      <c r="E10" s="26"/>
      <c r="F10" s="27"/>
      <c r="G10" s="27"/>
    </row>
    <row r="11" spans="1:7" ht="15" x14ac:dyDescent="0.25">
      <c r="A11" s="17" t="s">
        <v>7</v>
      </c>
      <c r="B11" s="18">
        <v>107.10773708872581</v>
      </c>
      <c r="C11" s="19">
        <v>105.89772697867785</v>
      </c>
      <c r="D11" s="19">
        <v>104.27152702276341</v>
      </c>
      <c r="E11" s="19">
        <v>104.0316868865518</v>
      </c>
      <c r="F11" s="20">
        <v>104.04097111235878</v>
      </c>
      <c r="G11" s="20"/>
    </row>
    <row r="12" spans="1:7" ht="15" x14ac:dyDescent="0.25">
      <c r="A12" s="28" t="s">
        <v>8</v>
      </c>
      <c r="B12" s="29">
        <v>104.26773052621139</v>
      </c>
      <c r="C12" s="30">
        <v>107.28817656092711</v>
      </c>
      <c r="D12" s="30">
        <v>105.11895939427505</v>
      </c>
      <c r="E12" s="30">
        <v>104.21028091370621</v>
      </c>
      <c r="F12" s="31">
        <v>104.0242161009644</v>
      </c>
      <c r="G12" s="31"/>
    </row>
    <row r="13" spans="1:7" s="12" customFormat="1" ht="15" x14ac:dyDescent="0.25">
      <c r="A13" s="32" t="s">
        <v>10</v>
      </c>
      <c r="B13" s="25"/>
      <c r="C13" s="26"/>
      <c r="D13" s="26"/>
      <c r="E13" s="26"/>
      <c r="F13" s="27"/>
      <c r="G13" s="27"/>
    </row>
    <row r="14" spans="1:7" ht="15" x14ac:dyDescent="0.25">
      <c r="A14" s="17" t="s">
        <v>7</v>
      </c>
      <c r="B14" s="18">
        <v>108.16</v>
      </c>
      <c r="C14" s="19">
        <v>106.86284052688741</v>
      </c>
      <c r="D14" s="19">
        <v>104.19571189329271</v>
      </c>
      <c r="E14" s="19">
        <v>104.03189077428911</v>
      </c>
      <c r="F14" s="20">
        <v>104.03267051542393</v>
      </c>
      <c r="G14" s="20"/>
    </row>
    <row r="15" spans="1:7" ht="15" x14ac:dyDescent="0.25">
      <c r="A15" s="28" t="s">
        <v>11</v>
      </c>
      <c r="B15" s="29">
        <v>104.4</v>
      </c>
      <c r="C15" s="30">
        <v>108.33609792855718</v>
      </c>
      <c r="D15" s="30">
        <v>105.71371234663671</v>
      </c>
      <c r="E15" s="30">
        <v>104.15109963491238</v>
      </c>
      <c r="F15" s="31">
        <v>104.03041213059335</v>
      </c>
      <c r="G15" s="31"/>
    </row>
    <row r="16" spans="1:7" s="12" customFormat="1" ht="15" x14ac:dyDescent="0.25">
      <c r="A16" s="33" t="s">
        <v>12</v>
      </c>
      <c r="B16" s="25"/>
      <c r="C16" s="26"/>
      <c r="D16" s="26"/>
      <c r="E16" s="26"/>
      <c r="F16" s="27"/>
      <c r="G16" s="27"/>
    </row>
    <row r="17" spans="1:7" ht="15" x14ac:dyDescent="0.25">
      <c r="A17" s="17" t="s">
        <v>7</v>
      </c>
      <c r="B17" s="18">
        <v>106.14</v>
      </c>
      <c r="C17" s="19">
        <v>106.41279543223139</v>
      </c>
      <c r="D17" s="19">
        <v>103.96339030217972</v>
      </c>
      <c r="E17" s="19">
        <v>104.0317935804491</v>
      </c>
      <c r="F17" s="20">
        <v>104.0326705154239</v>
      </c>
      <c r="G17" s="20"/>
    </row>
    <row r="18" spans="1:7" ht="15" x14ac:dyDescent="0.25">
      <c r="A18" s="28" t="s">
        <v>11</v>
      </c>
      <c r="B18" s="29">
        <v>103.92749177679836</v>
      </c>
      <c r="C18" s="30">
        <v>107.64763878753693</v>
      </c>
      <c r="D18" s="30">
        <v>105.00162106677296</v>
      </c>
      <c r="E18" s="30">
        <v>104.04120145984028</v>
      </c>
      <c r="F18" s="31">
        <v>104.03012457415511</v>
      </c>
      <c r="G18" s="31"/>
    </row>
    <row r="19" spans="1:7" s="12" customFormat="1" ht="15" x14ac:dyDescent="0.25">
      <c r="A19" s="32" t="s">
        <v>13</v>
      </c>
      <c r="B19" s="25"/>
      <c r="C19" s="26"/>
      <c r="D19" s="26"/>
      <c r="E19" s="26"/>
      <c r="F19" s="27"/>
      <c r="G19" s="27"/>
    </row>
    <row r="20" spans="1:7" ht="15" x14ac:dyDescent="0.25">
      <c r="A20" s="17" t="s">
        <v>7</v>
      </c>
      <c r="B20" s="18">
        <v>105.96</v>
      </c>
      <c r="C20" s="19">
        <v>104.86384943356626</v>
      </c>
      <c r="D20" s="19">
        <v>104.35274395323243</v>
      </c>
      <c r="E20" s="19">
        <v>104.03146847188563</v>
      </c>
      <c r="F20" s="20">
        <v>104.04986312387163</v>
      </c>
      <c r="G20" s="20"/>
    </row>
    <row r="21" spans="1:7" ht="15" x14ac:dyDescent="0.25">
      <c r="A21" s="28" t="s">
        <v>11</v>
      </c>
      <c r="B21" s="29">
        <v>104.15587604341268</v>
      </c>
      <c r="C21" s="30">
        <v>106.15396613507076</v>
      </c>
      <c r="D21" s="30">
        <v>104.47827245949736</v>
      </c>
      <c r="E21" s="30">
        <v>104.27360625117534</v>
      </c>
      <c r="F21" s="31">
        <v>104.01755998627263</v>
      </c>
      <c r="G21" s="31"/>
    </row>
    <row r="22" spans="1:7" s="12" customFormat="1" ht="15" x14ac:dyDescent="0.25">
      <c r="A22" s="33" t="s">
        <v>14</v>
      </c>
      <c r="B22" s="25"/>
      <c r="C22" s="26"/>
      <c r="D22" s="26"/>
      <c r="E22" s="26"/>
      <c r="F22" s="27"/>
      <c r="G22" s="27"/>
    </row>
    <row r="23" spans="1:7" ht="15" x14ac:dyDescent="0.25">
      <c r="A23" s="17" t="s">
        <v>7</v>
      </c>
      <c r="B23" s="18">
        <v>105.92136229457188</v>
      </c>
      <c r="C23" s="19">
        <v>104.80344480408004</v>
      </c>
      <c r="D23" s="19">
        <v>104.36092830373917</v>
      </c>
      <c r="E23" s="19">
        <v>104.03171283762178</v>
      </c>
      <c r="F23" s="20">
        <v>104.05044288873991</v>
      </c>
      <c r="G23" s="20"/>
    </row>
    <row r="24" spans="1:7" ht="15" x14ac:dyDescent="0.25">
      <c r="A24" s="28" t="s">
        <v>11</v>
      </c>
      <c r="B24" s="29">
        <v>104.15088461713762</v>
      </c>
      <c r="C24" s="30">
        <v>106.11713584001291</v>
      </c>
      <c r="D24" s="30">
        <v>104.46230615296062</v>
      </c>
      <c r="E24" s="30">
        <v>104.28103483837717</v>
      </c>
      <c r="F24" s="31">
        <v>104.01780353061241</v>
      </c>
      <c r="G24" s="31"/>
    </row>
    <row r="25" spans="1:7" s="12" customFormat="1" ht="15.75" x14ac:dyDescent="0.25">
      <c r="A25" s="24" t="s">
        <v>15</v>
      </c>
      <c r="B25" s="25"/>
      <c r="C25" s="26"/>
      <c r="D25" s="26"/>
      <c r="E25" s="26"/>
      <c r="F25" s="27"/>
      <c r="G25" s="27"/>
    </row>
    <row r="26" spans="1:7" ht="15" x14ac:dyDescent="0.25">
      <c r="A26" s="17" t="s">
        <v>7</v>
      </c>
      <c r="B26" s="18">
        <v>108.33</v>
      </c>
      <c r="C26" s="19">
        <v>111.04939990342271</v>
      </c>
      <c r="D26" s="19">
        <v>104.94074477380735</v>
      </c>
      <c r="E26" s="19">
        <v>104.0110953420391</v>
      </c>
      <c r="F26" s="20">
        <v>104.03157441925403</v>
      </c>
      <c r="G26" s="20"/>
    </row>
    <row r="27" spans="1:7" ht="15" x14ac:dyDescent="0.25">
      <c r="A27" s="28" t="s">
        <v>8</v>
      </c>
      <c r="B27" s="29">
        <v>110.40812829467856</v>
      </c>
      <c r="C27" s="30">
        <v>109.84725118647334</v>
      </c>
      <c r="D27" s="30">
        <v>107.49669272889439</v>
      </c>
      <c r="E27" s="30">
        <v>104.429903581133</v>
      </c>
      <c r="F27" s="31">
        <v>104.02638887181564</v>
      </c>
      <c r="G27" s="31"/>
    </row>
    <row r="28" spans="1:7" s="12" customFormat="1" ht="15" x14ac:dyDescent="0.25">
      <c r="A28" s="32" t="s">
        <v>16</v>
      </c>
      <c r="B28" s="25"/>
      <c r="C28" s="26"/>
      <c r="D28" s="26"/>
      <c r="E28" s="26"/>
      <c r="F28" s="27"/>
      <c r="G28" s="27"/>
    </row>
    <row r="29" spans="1:7" ht="15" x14ac:dyDescent="0.25">
      <c r="A29" s="17" t="s">
        <v>7</v>
      </c>
      <c r="B29" s="18">
        <v>104.76</v>
      </c>
      <c r="C29" s="19">
        <v>111.02860452448394</v>
      </c>
      <c r="D29" s="19">
        <v>111.08997680970059</v>
      </c>
      <c r="E29" s="19">
        <v>105.47947418093841</v>
      </c>
      <c r="F29" s="20">
        <v>104.78524769675153</v>
      </c>
      <c r="G29" s="20"/>
    </row>
    <row r="30" spans="1:7" ht="15" x14ac:dyDescent="0.25">
      <c r="A30" s="28" t="s">
        <v>11</v>
      </c>
      <c r="B30" s="29">
        <v>109.7</v>
      </c>
      <c r="C30" s="30">
        <v>107.43499149885487</v>
      </c>
      <c r="D30" s="30">
        <v>111.01942719342388</v>
      </c>
      <c r="E30" s="30">
        <v>108.67723284644646</v>
      </c>
      <c r="F30" s="31">
        <v>105.13002383556189</v>
      </c>
      <c r="G30" s="31"/>
    </row>
    <row r="31" spans="1:7" s="12" customFormat="1" ht="15" x14ac:dyDescent="0.25">
      <c r="A31" s="32" t="s">
        <v>17</v>
      </c>
      <c r="B31" s="25"/>
      <c r="C31" s="26"/>
      <c r="D31" s="26"/>
      <c r="E31" s="26"/>
      <c r="F31" s="27"/>
      <c r="G31" s="27"/>
    </row>
    <row r="32" spans="1:7" ht="15" x14ac:dyDescent="0.25">
      <c r="A32" s="17" t="s">
        <v>7</v>
      </c>
      <c r="B32" s="18">
        <v>110.13649985446662</v>
      </c>
      <c r="C32" s="19">
        <v>111.05925241887034</v>
      </c>
      <c r="D32" s="19">
        <v>102.02733772298322</v>
      </c>
      <c r="E32" s="19">
        <v>103.31540110940006</v>
      </c>
      <c r="F32" s="20">
        <v>103.67449616495132</v>
      </c>
      <c r="G32" s="20"/>
    </row>
    <row r="33" spans="1:7" s="34" customFormat="1" ht="15" x14ac:dyDescent="0.25">
      <c r="A33" s="35" t="s">
        <v>11</v>
      </c>
      <c r="B33" s="36">
        <v>110.39929233996627</v>
      </c>
      <c r="C33" s="37">
        <v>110.97959265824566</v>
      </c>
      <c r="D33" s="37">
        <v>105.85202217538028</v>
      </c>
      <c r="E33" s="37">
        <v>102.37260809165029</v>
      </c>
      <c r="F33" s="38">
        <v>103.50126893556335</v>
      </c>
      <c r="G33" s="38"/>
    </row>
  </sheetData>
  <mergeCells count="5">
    <mergeCell ref="A1:F2"/>
    <mergeCell ref="A3:F3"/>
    <mergeCell ref="A4:F4"/>
    <mergeCell ref="A5:A6"/>
    <mergeCell ref="D6:F6"/>
  </mergeCells>
  <pageMargins left="0.19685039370078738" right="0.19685039370078738" top="0.59055118110236249" bottom="0.19685039370078738" header="0.31496062992125984" footer="0.31496062992125984"/>
  <pageSetup paperSize="9" scale="90" firstPageNumber="11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pane ySplit="5" topLeftCell="A6" activePane="bottomLeft" state="frozen"/>
      <selection activeCell="B27" sqref="B27"/>
      <selection pane="bottomLeft" activeCell="R8" sqref="R8"/>
    </sheetView>
  </sheetViews>
  <sheetFormatPr defaultRowHeight="12.75" x14ac:dyDescent="0.2"/>
  <cols>
    <col min="1" max="1" width="7" style="39" bestFit="1" customWidth="1"/>
    <col min="2" max="2" width="35.85546875" style="39" customWidth="1"/>
    <col min="3" max="3" width="16.7109375" style="39" customWidth="1"/>
    <col min="4" max="4" width="14.42578125" style="39" customWidth="1"/>
    <col min="5" max="5" width="14.7109375" style="39" customWidth="1"/>
    <col min="6" max="6" width="16.7109375" style="39" customWidth="1"/>
    <col min="7" max="7" width="14.28515625" style="39" customWidth="1"/>
    <col min="8" max="8" width="13.5703125" style="39" customWidth="1"/>
    <col min="9" max="9" width="16.7109375" style="39" customWidth="1"/>
    <col min="10" max="10" width="14.7109375" style="39" customWidth="1"/>
    <col min="11" max="11" width="13.85546875" style="39" customWidth="1"/>
    <col min="12" max="12" width="16.7109375" style="39" customWidth="1"/>
    <col min="13" max="13" width="14.7109375" style="39" customWidth="1"/>
    <col min="14" max="14" width="13.85546875" style="39" customWidth="1"/>
    <col min="15" max="16384" width="9.140625" style="39"/>
  </cols>
  <sheetData>
    <row r="1" spans="1:14" ht="27.75" customHeight="1" x14ac:dyDescent="0.2">
      <c r="A1" s="173" t="s">
        <v>18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4" spans="1:14" ht="19.5" customHeight="1" x14ac:dyDescent="0.2">
      <c r="A4" s="170" t="s">
        <v>19</v>
      </c>
      <c r="B4" s="170" t="s">
        <v>20</v>
      </c>
      <c r="C4" s="174" t="s">
        <v>21</v>
      </c>
      <c r="D4" s="175" t="s">
        <v>22</v>
      </c>
      <c r="E4" s="175"/>
      <c r="F4" s="175" t="s">
        <v>23</v>
      </c>
      <c r="G4" s="175"/>
      <c r="H4" s="175"/>
      <c r="I4" s="175" t="s">
        <v>24</v>
      </c>
      <c r="J4" s="175"/>
      <c r="K4" s="175"/>
      <c r="L4" s="175" t="s">
        <v>25</v>
      </c>
      <c r="M4" s="175"/>
      <c r="N4" s="175"/>
    </row>
    <row r="5" spans="1:14" ht="57" customHeight="1" x14ac:dyDescent="0.2">
      <c r="A5" s="171"/>
      <c r="B5" s="171"/>
      <c r="C5" s="174"/>
      <c r="D5" s="168" t="s">
        <v>26</v>
      </c>
      <c r="E5" s="168" t="s">
        <v>27</v>
      </c>
      <c r="F5" s="168" t="s">
        <v>28</v>
      </c>
      <c r="G5" s="168" t="s">
        <v>26</v>
      </c>
      <c r="H5" s="168" t="s">
        <v>27</v>
      </c>
      <c r="I5" s="168" t="s">
        <v>29</v>
      </c>
      <c r="J5" s="168" t="s">
        <v>26</v>
      </c>
      <c r="K5" s="168" t="s">
        <v>27</v>
      </c>
      <c r="L5" s="168" t="s">
        <v>30</v>
      </c>
      <c r="M5" s="168" t="s">
        <v>26</v>
      </c>
      <c r="N5" s="168" t="s">
        <v>27</v>
      </c>
    </row>
    <row r="6" spans="1:14" ht="57" customHeight="1" x14ac:dyDescent="0.2">
      <c r="A6" s="172"/>
      <c r="B6" s="172"/>
      <c r="C6" s="159" t="s">
        <v>123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ht="28.5" customHeight="1" x14ac:dyDescent="0.2">
      <c r="A7" s="47" t="s">
        <v>31</v>
      </c>
      <c r="B7" s="40" t="s">
        <v>32</v>
      </c>
      <c r="C7" s="41">
        <v>305.58999999999997</v>
      </c>
      <c r="D7" s="42">
        <f t="shared" ref="D7:D19" si="0">C7</f>
        <v>305.58999999999997</v>
      </c>
      <c r="E7" s="42">
        <f t="shared" ref="E7:E11" si="1">D7*1.2</f>
        <v>366.70799999999997</v>
      </c>
      <c r="F7" s="44">
        <f>Сценарий!$E$9/100</f>
        <v>1.0427035520131041</v>
      </c>
      <c r="G7" s="42">
        <f t="shared" ref="G7:G11" si="2">D7*F7</f>
        <v>318.63977845968446</v>
      </c>
      <c r="H7" s="42">
        <f t="shared" ref="H7:H11" si="3">G7*1.2</f>
        <v>382.36773415162133</v>
      </c>
      <c r="I7" s="44">
        <f>Сценарий!$F$9/100</f>
        <v>1.04</v>
      </c>
      <c r="J7" s="42">
        <f t="shared" ref="J7:J11" si="4">G7*I7</f>
        <v>331.38536959807186</v>
      </c>
      <c r="K7" s="42">
        <f t="shared" ref="K7:K11" si="5">J7*1.2</f>
        <v>397.6624435176862</v>
      </c>
      <c r="L7" s="44">
        <f>Сценарий!$F$9/100</f>
        <v>1.04</v>
      </c>
      <c r="M7" s="42">
        <f t="shared" ref="M7:M14" si="6">J7*L7</f>
        <v>344.64078438199476</v>
      </c>
      <c r="N7" s="42">
        <f t="shared" ref="N7:N14" si="7">M7*1.2</f>
        <v>413.56894125839369</v>
      </c>
    </row>
    <row r="8" spans="1:14" ht="48.75" customHeight="1" x14ac:dyDescent="0.2">
      <c r="A8" s="47" t="s">
        <v>33</v>
      </c>
      <c r="B8" s="40" t="s">
        <v>34</v>
      </c>
      <c r="C8" s="41">
        <v>10187.26</v>
      </c>
      <c r="D8" s="42">
        <f t="shared" si="0"/>
        <v>10187.26</v>
      </c>
      <c r="E8" s="42">
        <f t="shared" si="1"/>
        <v>12224.712</v>
      </c>
      <c r="F8" s="44">
        <f>Сценарий!$E$9/100</f>
        <v>1.0427035520131041</v>
      </c>
      <c r="G8" s="42">
        <f t="shared" si="2"/>
        <v>10622.292187281015</v>
      </c>
      <c r="H8" s="42">
        <f t="shared" si="3"/>
        <v>12746.750624737217</v>
      </c>
      <c r="I8" s="44">
        <f>Сценарий!$F$9/100</f>
        <v>1.04</v>
      </c>
      <c r="J8" s="42">
        <f t="shared" si="4"/>
        <v>11047.183874772256</v>
      </c>
      <c r="K8" s="42">
        <f t="shared" si="5"/>
        <v>13256.620649726707</v>
      </c>
      <c r="L8" s="44">
        <f>Сценарий!$F$9/100</f>
        <v>1.04</v>
      </c>
      <c r="M8" s="42">
        <f t="shared" si="6"/>
        <v>11489.071229763147</v>
      </c>
      <c r="N8" s="42">
        <f t="shared" si="7"/>
        <v>13786.885475715777</v>
      </c>
    </row>
    <row r="9" spans="1:14" ht="53.25" customHeight="1" x14ac:dyDescent="0.2">
      <c r="A9" s="47" t="s">
        <v>35</v>
      </c>
      <c r="B9" s="40" t="s">
        <v>36</v>
      </c>
      <c r="C9" s="41">
        <v>9557.26</v>
      </c>
      <c r="D9" s="42">
        <f t="shared" si="0"/>
        <v>9557.26</v>
      </c>
      <c r="E9" s="42">
        <f t="shared" si="1"/>
        <v>11468.712</v>
      </c>
      <c r="F9" s="44">
        <f>Сценарий!$E$9/100</f>
        <v>1.0427035520131041</v>
      </c>
      <c r="G9" s="42">
        <f t="shared" si="2"/>
        <v>9965.3889495127587</v>
      </c>
      <c r="H9" s="42">
        <f t="shared" si="3"/>
        <v>11958.466739415309</v>
      </c>
      <c r="I9" s="44">
        <f>Сценарий!$F$9/100</f>
        <v>1.04</v>
      </c>
      <c r="J9" s="42">
        <f t="shared" si="4"/>
        <v>10364.00450749327</v>
      </c>
      <c r="K9" s="42">
        <f t="shared" si="5"/>
        <v>12436.805408991922</v>
      </c>
      <c r="L9" s="44">
        <f>Сценарий!$F$9/100</f>
        <v>1.04</v>
      </c>
      <c r="M9" s="42">
        <f t="shared" si="6"/>
        <v>10778.564687793001</v>
      </c>
      <c r="N9" s="42">
        <f t="shared" si="7"/>
        <v>12934.2776253516</v>
      </c>
    </row>
    <row r="10" spans="1:14" ht="53.25" customHeight="1" x14ac:dyDescent="0.2">
      <c r="A10" s="47" t="s">
        <v>37</v>
      </c>
      <c r="B10" s="40" t="s">
        <v>38</v>
      </c>
      <c r="C10" s="41">
        <v>18654.43</v>
      </c>
      <c r="D10" s="42">
        <f t="shared" si="0"/>
        <v>18654.43</v>
      </c>
      <c r="E10" s="42">
        <f t="shared" si="1"/>
        <v>22385.315999999999</v>
      </c>
      <c r="F10" s="44">
        <f>Сценарий!$E$9/100</f>
        <v>1.0427035520131041</v>
      </c>
      <c r="G10" s="42">
        <f t="shared" si="2"/>
        <v>19451.04042177981</v>
      </c>
      <c r="H10" s="42">
        <f t="shared" si="3"/>
        <v>23341.248506135769</v>
      </c>
      <c r="I10" s="44">
        <f>Сценарий!$F$9/100</f>
        <v>1.04</v>
      </c>
      <c r="J10" s="42">
        <f t="shared" si="4"/>
        <v>20229.082038651002</v>
      </c>
      <c r="K10" s="42">
        <f t="shared" si="5"/>
        <v>24274.898446381201</v>
      </c>
      <c r="L10" s="44">
        <f>Сценарий!$F$9/100</f>
        <v>1.04</v>
      </c>
      <c r="M10" s="42">
        <f t="shared" si="6"/>
        <v>21038.245320197042</v>
      </c>
      <c r="N10" s="42">
        <f t="shared" si="7"/>
        <v>25245.89438423645</v>
      </c>
    </row>
    <row r="11" spans="1:14" ht="25.5" customHeight="1" x14ac:dyDescent="0.2">
      <c r="A11" s="47" t="s">
        <v>39</v>
      </c>
      <c r="B11" s="40" t="s">
        <v>40</v>
      </c>
      <c r="C11" s="41">
        <v>1419.31</v>
      </c>
      <c r="D11" s="42">
        <f t="shared" ref="D11:D14" si="8">C11</f>
        <v>1419.31</v>
      </c>
      <c r="E11" s="42">
        <f t="shared" si="1"/>
        <v>1703.1719999999998</v>
      </c>
      <c r="F11" s="44">
        <f>Сценарий!$E$9/100</f>
        <v>1.0427035520131041</v>
      </c>
      <c r="G11" s="42">
        <f t="shared" si="2"/>
        <v>1479.9195784077187</v>
      </c>
      <c r="H11" s="42">
        <f t="shared" si="3"/>
        <v>1775.9034940892625</v>
      </c>
      <c r="I11" s="44">
        <f>Сценарий!$F$9/100</f>
        <v>1.04</v>
      </c>
      <c r="J11" s="42">
        <f t="shared" si="4"/>
        <v>1539.1163615440275</v>
      </c>
      <c r="K11" s="42">
        <f t="shared" si="5"/>
        <v>1846.9396338528329</v>
      </c>
      <c r="L11" s="44">
        <f>Сценарий!$F$9/100</f>
        <v>1.04</v>
      </c>
      <c r="M11" s="42">
        <f t="shared" si="6"/>
        <v>1600.6810160057887</v>
      </c>
      <c r="N11" s="42">
        <f t="shared" si="7"/>
        <v>1920.8172192069464</v>
      </c>
    </row>
    <row r="12" spans="1:14" ht="39" customHeight="1" x14ac:dyDescent="0.2">
      <c r="A12" s="47" t="s">
        <v>41</v>
      </c>
      <c r="B12" s="40" t="s">
        <v>42</v>
      </c>
      <c r="C12" s="41">
        <v>21550.57</v>
      </c>
      <c r="D12" s="42">
        <f t="shared" si="8"/>
        <v>21550.57</v>
      </c>
      <c r="E12" s="42">
        <f t="shared" ref="E12:E20" si="9">D12*1.2</f>
        <v>25860.683999999997</v>
      </c>
      <c r="F12" s="44">
        <f>Сценарий!$E$9/100</f>
        <v>1.0427035520131041</v>
      </c>
      <c r="G12" s="42">
        <f t="shared" ref="G12:G20" si="10">D12*F12</f>
        <v>22470.85588690704</v>
      </c>
      <c r="H12" s="42">
        <f t="shared" ref="H12:H20" si="11">G12*1.2</f>
        <v>26965.027064288446</v>
      </c>
      <c r="I12" s="44">
        <f>Сценарий!$F$9/100</f>
        <v>1.04</v>
      </c>
      <c r="J12" s="42">
        <f t="shared" ref="J12:J20" si="12">G12*I12</f>
        <v>23369.690122383323</v>
      </c>
      <c r="K12" s="42">
        <f t="shared" ref="K12:K20" si="13">J12*1.2</f>
        <v>28043.628146859988</v>
      </c>
      <c r="L12" s="44">
        <f>Сценарий!$F$9/100</f>
        <v>1.04</v>
      </c>
      <c r="M12" s="42">
        <f t="shared" si="6"/>
        <v>24304.477727278656</v>
      </c>
      <c r="N12" s="42">
        <f t="shared" si="7"/>
        <v>29165.373272734385</v>
      </c>
    </row>
    <row r="13" spans="1:14" ht="53.25" customHeight="1" x14ac:dyDescent="0.2">
      <c r="A13" s="47" t="s">
        <v>43</v>
      </c>
      <c r="B13" s="40" t="s">
        <v>44</v>
      </c>
      <c r="C13" s="41">
        <v>36145.68</v>
      </c>
      <c r="D13" s="42">
        <f t="shared" si="8"/>
        <v>36145.68</v>
      </c>
      <c r="E13" s="42">
        <f t="shared" si="9"/>
        <v>43374.815999999999</v>
      </c>
      <c r="F13" s="44">
        <f>Сценарий!$E$9/100</f>
        <v>1.0427035520131041</v>
      </c>
      <c r="G13" s="42">
        <f t="shared" si="10"/>
        <v>37689.228925929012</v>
      </c>
      <c r="H13" s="42">
        <f t="shared" si="11"/>
        <v>45227.074711114816</v>
      </c>
      <c r="I13" s="44">
        <f>Сценарий!$F$9/100</f>
        <v>1.04</v>
      </c>
      <c r="J13" s="42">
        <f t="shared" si="12"/>
        <v>39196.798082966176</v>
      </c>
      <c r="K13" s="42">
        <f t="shared" si="13"/>
        <v>47036.157699559408</v>
      </c>
      <c r="L13" s="44">
        <v>1.04</v>
      </c>
      <c r="M13" s="42">
        <f t="shared" si="6"/>
        <v>40764.670006284825</v>
      </c>
      <c r="N13" s="42">
        <f t="shared" si="7"/>
        <v>48917.604007541791</v>
      </c>
    </row>
    <row r="14" spans="1:14" ht="39" customHeight="1" x14ac:dyDescent="0.2">
      <c r="A14" s="47" t="s">
        <v>45</v>
      </c>
      <c r="B14" s="40" t="s">
        <v>46</v>
      </c>
      <c r="C14" s="41">
        <v>9895.19</v>
      </c>
      <c r="D14" s="42">
        <f t="shared" si="8"/>
        <v>9895.19</v>
      </c>
      <c r="E14" s="42">
        <f t="shared" si="9"/>
        <v>11874.228000000001</v>
      </c>
      <c r="F14" s="44">
        <f>Сценарий!$E$9/100</f>
        <v>1.0427035520131041</v>
      </c>
      <c r="G14" s="42">
        <f t="shared" si="10"/>
        <v>10317.749760844548</v>
      </c>
      <c r="H14" s="42">
        <f t="shared" si="11"/>
        <v>12381.299713013457</v>
      </c>
      <c r="I14" s="44">
        <f>Сценарий!$F$9/100</f>
        <v>1.04</v>
      </c>
      <c r="J14" s="42">
        <f t="shared" si="12"/>
        <v>10730.459751278331</v>
      </c>
      <c r="K14" s="42">
        <f t="shared" si="13"/>
        <v>12876.551701533997</v>
      </c>
      <c r="L14" s="44">
        <v>1.04</v>
      </c>
      <c r="M14" s="42">
        <f t="shared" si="6"/>
        <v>11159.678141329465</v>
      </c>
      <c r="N14" s="42">
        <f t="shared" si="7"/>
        <v>13391.613769595357</v>
      </c>
    </row>
    <row r="15" spans="1:14" ht="25.5" x14ac:dyDescent="0.2">
      <c r="A15" s="47" t="s">
        <v>47</v>
      </c>
      <c r="B15" s="40" t="s">
        <v>48</v>
      </c>
      <c r="C15" s="41">
        <v>1419.31</v>
      </c>
      <c r="D15" s="42">
        <f t="shared" si="0"/>
        <v>1419.31</v>
      </c>
      <c r="E15" s="42">
        <f t="shared" si="9"/>
        <v>1703.1719999999998</v>
      </c>
      <c r="F15" s="44">
        <f>Сценарий!$E$9/100</f>
        <v>1.0427035520131041</v>
      </c>
      <c r="G15" s="42">
        <f t="shared" si="10"/>
        <v>1479.9195784077187</v>
      </c>
      <c r="H15" s="42">
        <f t="shared" si="11"/>
        <v>1775.9034940892625</v>
      </c>
      <c r="I15" s="44">
        <f>Сценарий!$F$9/100</f>
        <v>1.04</v>
      </c>
      <c r="J15" s="42">
        <f t="shared" si="12"/>
        <v>1539.1163615440275</v>
      </c>
      <c r="K15" s="42">
        <f t="shared" si="13"/>
        <v>1846.9396338528329</v>
      </c>
      <c r="L15" s="44">
        <v>1.04</v>
      </c>
      <c r="M15" s="42">
        <f t="shared" ref="M15:M20" si="14">J15*L15</f>
        <v>1600.6810160057887</v>
      </c>
      <c r="N15" s="42">
        <f t="shared" ref="N15:N20" si="15">M15*1.2</f>
        <v>1920.8172192069464</v>
      </c>
    </row>
    <row r="16" spans="1:14" ht="63.75" x14ac:dyDescent="0.2">
      <c r="A16" s="47" t="s">
        <v>49</v>
      </c>
      <c r="B16" s="40" t="s">
        <v>50</v>
      </c>
      <c r="C16" s="41">
        <v>23042.22</v>
      </c>
      <c r="D16" s="42">
        <f t="shared" si="0"/>
        <v>23042.22</v>
      </c>
      <c r="E16" s="42">
        <f t="shared" si="9"/>
        <v>27650.664000000001</v>
      </c>
      <c r="F16" s="44">
        <f>Сценарий!$E$9/100</f>
        <v>1.0427035520131041</v>
      </c>
      <c r="G16" s="42">
        <f t="shared" si="10"/>
        <v>24026.204640267388</v>
      </c>
      <c r="H16" s="42">
        <f t="shared" si="11"/>
        <v>28831.445568320865</v>
      </c>
      <c r="I16" s="44">
        <f>Сценарий!$F$9/100</f>
        <v>1.04</v>
      </c>
      <c r="J16" s="42">
        <f t="shared" si="12"/>
        <v>24987.252825878084</v>
      </c>
      <c r="K16" s="42">
        <f t="shared" si="13"/>
        <v>29984.703391053699</v>
      </c>
      <c r="L16" s="44">
        <v>1.04</v>
      </c>
      <c r="M16" s="42">
        <f t="shared" si="14"/>
        <v>25986.742938913208</v>
      </c>
      <c r="N16" s="42">
        <f t="shared" si="15"/>
        <v>31184.091526695847</v>
      </c>
    </row>
    <row r="17" spans="1:14" ht="74.25" customHeight="1" x14ac:dyDescent="0.2">
      <c r="A17" s="47" t="s">
        <v>51</v>
      </c>
      <c r="B17" s="40" t="s">
        <v>52</v>
      </c>
      <c r="C17" s="41">
        <v>37637.33</v>
      </c>
      <c r="D17" s="42">
        <f t="shared" si="0"/>
        <v>37637.33</v>
      </c>
      <c r="E17" s="42">
        <f t="shared" si="9"/>
        <v>45164.796000000002</v>
      </c>
      <c r="F17" s="44">
        <f>Сценарий!$E$9/100</f>
        <v>1.0427035520131041</v>
      </c>
      <c r="G17" s="42">
        <f t="shared" si="10"/>
        <v>39244.577679289367</v>
      </c>
      <c r="H17" s="42">
        <f t="shared" si="11"/>
        <v>47093.493215147239</v>
      </c>
      <c r="I17" s="44">
        <f>Сценарий!$F$9/100</f>
        <v>1.04</v>
      </c>
      <c r="J17" s="42">
        <f t="shared" si="12"/>
        <v>40814.360786460944</v>
      </c>
      <c r="K17" s="42">
        <f t="shared" si="13"/>
        <v>48977.23294375313</v>
      </c>
      <c r="L17" s="44">
        <v>1.04</v>
      </c>
      <c r="M17" s="42">
        <f t="shared" si="14"/>
        <v>42446.935217919381</v>
      </c>
      <c r="N17" s="42">
        <f t="shared" si="15"/>
        <v>50936.322261503257</v>
      </c>
    </row>
    <row r="18" spans="1:14" ht="74.25" customHeight="1" x14ac:dyDescent="0.2">
      <c r="A18" s="47" t="s">
        <v>53</v>
      </c>
      <c r="B18" s="40" t="s">
        <v>54</v>
      </c>
      <c r="C18" s="41">
        <v>38567.629999999997</v>
      </c>
      <c r="D18" s="42">
        <f>C18</f>
        <v>38567.629999999997</v>
      </c>
      <c r="E18" s="42">
        <f t="shared" si="9"/>
        <v>46281.155999999995</v>
      </c>
      <c r="F18" s="44">
        <f>Сценарий!$E$9/100</f>
        <v>1.0427035520131041</v>
      </c>
      <c r="G18" s="42">
        <f t="shared" si="10"/>
        <v>40214.604793727151</v>
      </c>
      <c r="H18" s="42">
        <f t="shared" si="11"/>
        <v>48257.525752472582</v>
      </c>
      <c r="I18" s="44">
        <f>Сценарий!$F$9/100</f>
        <v>1.04</v>
      </c>
      <c r="J18" s="42">
        <f t="shared" si="12"/>
        <v>41823.188985476241</v>
      </c>
      <c r="K18" s="42">
        <f t="shared" si="13"/>
        <v>50187.826782571487</v>
      </c>
      <c r="L18" s="44">
        <v>1.04</v>
      </c>
      <c r="M18" s="42">
        <f t="shared" si="14"/>
        <v>43496.116544895289</v>
      </c>
      <c r="N18" s="42">
        <f t="shared" si="15"/>
        <v>52195.339853874342</v>
      </c>
    </row>
    <row r="19" spans="1:14" ht="37.5" customHeight="1" x14ac:dyDescent="0.2">
      <c r="A19" s="47" t="s">
        <v>55</v>
      </c>
      <c r="B19" s="40" t="s">
        <v>56</v>
      </c>
      <c r="C19" s="41">
        <v>64290.92</v>
      </c>
      <c r="D19" s="42">
        <f t="shared" si="0"/>
        <v>64290.92</v>
      </c>
      <c r="E19" s="42">
        <f t="shared" si="9"/>
        <v>77149.103999999992</v>
      </c>
      <c r="F19" s="44">
        <f>Сценарий!$E$9/100</f>
        <v>1.0427035520131041</v>
      </c>
      <c r="G19" s="42">
        <f t="shared" si="10"/>
        <v>67036.370646190306</v>
      </c>
      <c r="H19" s="42">
        <f t="shared" si="11"/>
        <v>80443.644775428358</v>
      </c>
      <c r="I19" s="44">
        <f>Сценарий!$F$9/100</f>
        <v>1.04</v>
      </c>
      <c r="J19" s="42">
        <f t="shared" si="12"/>
        <v>69717.825472037919</v>
      </c>
      <c r="K19" s="42">
        <f t="shared" si="13"/>
        <v>83661.390566445494</v>
      </c>
      <c r="L19" s="44">
        <v>1.04</v>
      </c>
      <c r="M19" s="42">
        <f t="shared" si="14"/>
        <v>72506.53849091944</v>
      </c>
      <c r="N19" s="42">
        <f t="shared" si="15"/>
        <v>87007.846189103322</v>
      </c>
    </row>
    <row r="20" spans="1:14" ht="38.25" x14ac:dyDescent="0.2">
      <c r="A20" s="47" t="s">
        <v>57</v>
      </c>
      <c r="B20" s="40" t="s">
        <v>58</v>
      </c>
      <c r="C20" s="41">
        <v>19206.13</v>
      </c>
      <c r="D20" s="42">
        <f>C20</f>
        <v>19206.13</v>
      </c>
      <c r="E20" s="42">
        <f t="shared" si="9"/>
        <v>23047.356</v>
      </c>
      <c r="F20" s="44">
        <f>Сценарий!$E$9/100</f>
        <v>1.0427035520131041</v>
      </c>
      <c r="G20" s="42">
        <f t="shared" si="10"/>
        <v>20026.29997142544</v>
      </c>
      <c r="H20" s="42">
        <f t="shared" si="11"/>
        <v>24031.559965710527</v>
      </c>
      <c r="I20" s="44">
        <f>Сценарий!$F$9/100</f>
        <v>1.04</v>
      </c>
      <c r="J20" s="42">
        <f t="shared" si="12"/>
        <v>20827.35197028246</v>
      </c>
      <c r="K20" s="42">
        <f t="shared" si="13"/>
        <v>24992.82236433895</v>
      </c>
      <c r="L20" s="44">
        <v>1.04</v>
      </c>
      <c r="M20" s="42">
        <f t="shared" si="14"/>
        <v>21660.44604909376</v>
      </c>
      <c r="N20" s="42">
        <f t="shared" si="15"/>
        <v>25992.53525891251</v>
      </c>
    </row>
  </sheetData>
  <mergeCells count="19">
    <mergeCell ref="A1:N1"/>
    <mergeCell ref="C4:C5"/>
    <mergeCell ref="D4:E4"/>
    <mergeCell ref="F4:H4"/>
    <mergeCell ref="I4:K4"/>
    <mergeCell ref="L4:N4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4:B6"/>
    <mergeCell ref="A4:A6"/>
  </mergeCells>
  <hyperlinks>
    <hyperlink ref="C6" r:id="rId1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85" workbookViewId="0">
      <pane ySplit="1" topLeftCell="A2" activePane="bottomLeft" state="frozen"/>
      <selection pane="bottomLeft" activeCell="J20" sqref="J20"/>
    </sheetView>
  </sheetViews>
  <sheetFormatPr defaultRowHeight="12.75" x14ac:dyDescent="0.2"/>
  <cols>
    <col min="1" max="1" width="9.140625" style="45"/>
    <col min="2" max="2" width="41.42578125" style="45" customWidth="1"/>
    <col min="3" max="3" width="8.5703125" style="45" bestFit="1" customWidth="1"/>
    <col min="4" max="9" width="11.85546875" style="45" customWidth="1"/>
    <col min="10" max="16384" width="9.140625" style="45"/>
  </cols>
  <sheetData>
    <row r="1" spans="1:8" s="46" customFormat="1" ht="53.25" customHeight="1" x14ac:dyDescent="0.25">
      <c r="A1" s="47"/>
      <c r="B1" s="48" t="s">
        <v>59</v>
      </c>
      <c r="C1" s="48" t="s">
        <v>60</v>
      </c>
      <c r="D1" s="48" t="s">
        <v>61</v>
      </c>
      <c r="E1" s="48">
        <v>2025</v>
      </c>
      <c r="F1" s="48">
        <v>2026</v>
      </c>
      <c r="G1" s="48">
        <v>2027</v>
      </c>
      <c r="H1" s="48">
        <v>2028</v>
      </c>
    </row>
    <row r="2" spans="1:8" x14ac:dyDescent="0.2">
      <c r="A2" s="50">
        <v>1</v>
      </c>
      <c r="B2" s="51" t="s">
        <v>63</v>
      </c>
      <c r="C2" s="50"/>
      <c r="D2" s="52">
        <f>H2+E2+F2+G2</f>
        <v>61858.6</v>
      </c>
      <c r="E2" s="52">
        <f>SUM(E3:E5)</f>
        <v>7792</v>
      </c>
      <c r="F2" s="52">
        <f>SUM(F3:F5)</f>
        <v>35474</v>
      </c>
      <c r="G2" s="52">
        <f>SUM(G3:G5)</f>
        <v>9327.0000000000018</v>
      </c>
      <c r="H2" s="52">
        <f>SUM(H3:H5)</f>
        <v>9265.6</v>
      </c>
    </row>
    <row r="3" spans="1:8" ht="38.25" x14ac:dyDescent="0.2">
      <c r="A3" s="53" t="s">
        <v>31</v>
      </c>
      <c r="B3" s="40" t="s">
        <v>64</v>
      </c>
      <c r="C3" s="53" t="s">
        <v>65</v>
      </c>
      <c r="D3" s="49">
        <f t="shared" ref="D3:D21" si="0">H3+E3+F3+G3</f>
        <v>55146.500000000007</v>
      </c>
      <c r="E3" s="54">
        <f>'2025 по квартально'!D4</f>
        <v>6398</v>
      </c>
      <c r="F3" s="54">
        <f>35574*0.9</f>
        <v>32016.600000000002</v>
      </c>
      <c r="G3" s="54">
        <f>9327*0.9</f>
        <v>8394.3000000000011</v>
      </c>
      <c r="H3" s="54">
        <f>9264*0.9</f>
        <v>8337.6</v>
      </c>
    </row>
    <row r="4" spans="1:8" ht="25.5" x14ac:dyDescent="0.2">
      <c r="A4" s="53" t="s">
        <v>33</v>
      </c>
      <c r="B4" s="40" t="s">
        <v>66</v>
      </c>
      <c r="C4" s="53" t="s">
        <v>65</v>
      </c>
      <c r="D4" s="49">
        <f t="shared" si="0"/>
        <v>6698.0999999999995</v>
      </c>
      <c r="E4" s="54">
        <f>'2025 по квартально'!D5</f>
        <v>1382</v>
      </c>
      <c r="F4" s="54">
        <f>34574*0.1</f>
        <v>3457.4</v>
      </c>
      <c r="G4" s="54">
        <f>9327*0.1</f>
        <v>932.7</v>
      </c>
      <c r="H4" s="54">
        <v>926</v>
      </c>
    </row>
    <row r="5" spans="1:8" ht="25.5" x14ac:dyDescent="0.2">
      <c r="A5" s="53" t="s">
        <v>35</v>
      </c>
      <c r="B5" s="40" t="s">
        <v>67</v>
      </c>
      <c r="C5" s="53" t="s">
        <v>65</v>
      </c>
      <c r="D5" s="49">
        <f t="shared" si="0"/>
        <v>14</v>
      </c>
      <c r="E5" s="54">
        <f>'2025 по квартально'!D6</f>
        <v>12</v>
      </c>
      <c r="F5" s="54"/>
      <c r="G5" s="54"/>
      <c r="H5" s="54">
        <v>2</v>
      </c>
    </row>
    <row r="6" spans="1:8" x14ac:dyDescent="0.2">
      <c r="A6" s="50" t="s">
        <v>68</v>
      </c>
      <c r="B6" s="55" t="s">
        <v>69</v>
      </c>
      <c r="C6" s="50" t="s">
        <v>65</v>
      </c>
      <c r="D6" s="56">
        <f t="shared" si="0"/>
        <v>51</v>
      </c>
      <c r="E6" s="52">
        <f>SUM(E7:E9)</f>
        <v>28</v>
      </c>
      <c r="F6" s="52">
        <f>SUM(F7:F9)</f>
        <v>6</v>
      </c>
      <c r="G6" s="52">
        <f>SUM(G7:G9)</f>
        <v>10</v>
      </c>
      <c r="H6" s="52">
        <f>SUM(H7:H9)</f>
        <v>7</v>
      </c>
    </row>
    <row r="7" spans="1:8" ht="38.25" x14ac:dyDescent="0.2">
      <c r="A7" s="53" t="s">
        <v>70</v>
      </c>
      <c r="B7" s="40" t="s">
        <v>71</v>
      </c>
      <c r="C7" s="53" t="s">
        <v>65</v>
      </c>
      <c r="D7" s="49">
        <f t="shared" si="0"/>
        <v>48</v>
      </c>
      <c r="E7" s="57">
        <f>'2025 по квартально'!D8</f>
        <v>25</v>
      </c>
      <c r="F7" s="54">
        <v>6</v>
      </c>
      <c r="G7" s="54">
        <v>10</v>
      </c>
      <c r="H7" s="54">
        <v>7</v>
      </c>
    </row>
    <row r="8" spans="1:8" ht="38.25" x14ac:dyDescent="0.2">
      <c r="A8" s="58" t="s">
        <v>72</v>
      </c>
      <c r="B8" s="40" t="s">
        <v>73</v>
      </c>
      <c r="C8" s="53" t="s">
        <v>65</v>
      </c>
      <c r="D8" s="59">
        <f t="shared" si="0"/>
        <v>1</v>
      </c>
      <c r="E8" s="54">
        <f>'2025 по квартально'!D9</f>
        <v>1</v>
      </c>
      <c r="F8" s="54">
        <v>0</v>
      </c>
      <c r="G8" s="54">
        <v>0</v>
      </c>
      <c r="H8" s="54">
        <v>0</v>
      </c>
    </row>
    <row r="9" spans="1:8" ht="25.5" x14ac:dyDescent="0.2">
      <c r="A9" s="58" t="s">
        <v>74</v>
      </c>
      <c r="B9" s="40" t="s">
        <v>75</v>
      </c>
      <c r="C9" s="53" t="s">
        <v>65</v>
      </c>
      <c r="D9" s="49">
        <f t="shared" si="0"/>
        <v>2</v>
      </c>
      <c r="E9" s="57">
        <f>'2025 по квартально'!D10</f>
        <v>2</v>
      </c>
      <c r="F9" s="54">
        <v>0</v>
      </c>
      <c r="G9" s="54">
        <v>0</v>
      </c>
      <c r="H9" s="54">
        <v>0</v>
      </c>
    </row>
    <row r="10" spans="1:8" x14ac:dyDescent="0.2">
      <c r="A10" s="50">
        <v>3</v>
      </c>
      <c r="B10" s="55" t="s">
        <v>76</v>
      </c>
      <c r="C10" s="53" t="s">
        <v>65</v>
      </c>
      <c r="D10" s="52">
        <f>H10+E10+F10+G10</f>
        <v>946</v>
      </c>
      <c r="E10" s="52">
        <f>SUM(E11:E12)</f>
        <v>103</v>
      </c>
      <c r="F10" s="52">
        <f>SUM(F11:F12)</f>
        <v>663</v>
      </c>
      <c r="G10" s="52">
        <f>SUM(G11:G12)</f>
        <v>70</v>
      </c>
      <c r="H10" s="52">
        <f>SUM(H11:H12)</f>
        <v>110</v>
      </c>
    </row>
    <row r="11" spans="1:8" ht="63.75" x14ac:dyDescent="0.2">
      <c r="A11" s="53" t="s">
        <v>39</v>
      </c>
      <c r="B11" s="40" t="s">
        <v>77</v>
      </c>
      <c r="C11" s="53" t="s">
        <v>65</v>
      </c>
      <c r="D11" s="59">
        <f t="shared" si="0"/>
        <v>548</v>
      </c>
      <c r="E11" s="54">
        <f>'2025 по квартально'!D12</f>
        <v>51</v>
      </c>
      <c r="F11" s="54">
        <v>397</v>
      </c>
      <c r="G11" s="54">
        <v>40</v>
      </c>
      <c r="H11" s="54">
        <v>60</v>
      </c>
    </row>
    <row r="12" spans="1:8" ht="76.5" x14ac:dyDescent="0.2">
      <c r="A12" s="53" t="s">
        <v>41</v>
      </c>
      <c r="B12" s="40" t="s">
        <v>78</v>
      </c>
      <c r="C12" s="53" t="s">
        <v>65</v>
      </c>
      <c r="D12" s="49">
        <f t="shared" si="0"/>
        <v>398</v>
      </c>
      <c r="E12" s="57">
        <f>'2025 по квартально'!D13</f>
        <v>52</v>
      </c>
      <c r="F12" s="54">
        <v>266</v>
      </c>
      <c r="G12" s="54">
        <v>30</v>
      </c>
      <c r="H12" s="54">
        <v>50</v>
      </c>
    </row>
    <row r="13" spans="1:8" x14ac:dyDescent="0.2">
      <c r="A13" s="50"/>
      <c r="B13" s="55" t="s">
        <v>62</v>
      </c>
      <c r="C13" s="50"/>
      <c r="D13" s="52">
        <f t="shared" si="0"/>
        <v>62855.6</v>
      </c>
      <c r="E13" s="52">
        <f>E2+E6+E10</f>
        <v>7923</v>
      </c>
      <c r="F13" s="52">
        <f>F2+F6+F10</f>
        <v>36143</v>
      </c>
      <c r="G13" s="52">
        <f>G2+G6+G10</f>
        <v>9407.0000000000018</v>
      </c>
      <c r="H13" s="52">
        <f>H2+H6+H10</f>
        <v>9382.6</v>
      </c>
    </row>
    <row r="14" spans="1:8" x14ac:dyDescent="0.2">
      <c r="A14" s="50">
        <v>4</v>
      </c>
      <c r="B14" s="55" t="s">
        <v>79</v>
      </c>
      <c r="C14" s="50" t="s">
        <v>65</v>
      </c>
      <c r="D14" s="52">
        <f t="shared" si="0"/>
        <v>4312</v>
      </c>
      <c r="E14" s="52">
        <f>SUM(E15:E16)</f>
        <v>388</v>
      </c>
      <c r="F14" s="52">
        <f>SUM(F15:F16)</f>
        <v>2580</v>
      </c>
      <c r="G14" s="52">
        <f>SUM(G15:G16)</f>
        <v>672</v>
      </c>
      <c r="H14" s="52">
        <f>SUM(H15:H16)</f>
        <v>672</v>
      </c>
    </row>
    <row r="15" spans="1:8" ht="25.5" x14ac:dyDescent="0.2">
      <c r="A15" s="53" t="s">
        <v>47</v>
      </c>
      <c r="B15" s="40" t="s">
        <v>80</v>
      </c>
      <c r="C15" s="53" t="s">
        <v>65</v>
      </c>
      <c r="D15" s="60">
        <f t="shared" si="0"/>
        <v>1131</v>
      </c>
      <c r="E15" s="54">
        <f>'2025 по квартально'!D16</f>
        <v>150</v>
      </c>
      <c r="F15" s="54">
        <f>ROUND(F13/14/4,0)</f>
        <v>645</v>
      </c>
      <c r="G15" s="54">
        <f>ROUND(G13/14/4,0)</f>
        <v>168</v>
      </c>
      <c r="H15" s="54">
        <f>ROUND(H13/14/4,0)</f>
        <v>168</v>
      </c>
    </row>
    <row r="16" spans="1:8" ht="25.5" x14ac:dyDescent="0.2">
      <c r="A16" s="58" t="s">
        <v>49</v>
      </c>
      <c r="B16" s="40" t="s">
        <v>81</v>
      </c>
      <c r="C16" s="53" t="s">
        <v>65</v>
      </c>
      <c r="D16" s="49">
        <f t="shared" si="0"/>
        <v>3181</v>
      </c>
      <c r="E16" s="61">
        <f>'2025 по квартально'!D17</f>
        <v>238</v>
      </c>
      <c r="F16" s="54">
        <f>F15*3</f>
        <v>1935</v>
      </c>
      <c r="G16" s="54">
        <f>G15*3</f>
        <v>504</v>
      </c>
      <c r="H16" s="54">
        <f>H15*3</f>
        <v>504</v>
      </c>
    </row>
    <row r="17" spans="1:9" ht="25.5" x14ac:dyDescent="0.2">
      <c r="A17" s="50">
        <v>5</v>
      </c>
      <c r="B17" s="55" t="s">
        <v>82</v>
      </c>
      <c r="C17" s="50"/>
      <c r="D17" s="52">
        <f t="shared" si="0"/>
        <v>59818</v>
      </c>
      <c r="E17" s="52">
        <f>SUM(E18:E20)</f>
        <v>11900</v>
      </c>
      <c r="F17" s="52">
        <f>SUM(F18:F20)</f>
        <v>31610</v>
      </c>
      <c r="G17" s="52">
        <f>SUM(G18:G20)</f>
        <v>8134</v>
      </c>
      <c r="H17" s="52">
        <f>SUM(H18:H20)</f>
        <v>8174</v>
      </c>
    </row>
    <row r="18" spans="1:9" ht="25.5" x14ac:dyDescent="0.2">
      <c r="A18" s="53" t="s">
        <v>55</v>
      </c>
      <c r="B18" s="40" t="s">
        <v>32</v>
      </c>
      <c r="C18" s="53" t="s">
        <v>65</v>
      </c>
      <c r="D18" s="60">
        <f t="shared" si="0"/>
        <v>58931</v>
      </c>
      <c r="E18" s="54">
        <f>'2025 по квартально'!D19</f>
        <v>11843</v>
      </c>
      <c r="F18" s="54">
        <f>SUM(F15:F16)*12</f>
        <v>30960</v>
      </c>
      <c r="G18" s="54">
        <f>SUM(G15:G16)*12</f>
        <v>8064</v>
      </c>
      <c r="H18" s="54">
        <f>SUM(H15:H16)*12</f>
        <v>8064</v>
      </c>
    </row>
    <row r="19" spans="1:9" ht="38.25" x14ac:dyDescent="0.2">
      <c r="A19" s="53" t="s">
        <v>57</v>
      </c>
      <c r="B19" s="40" t="s">
        <v>83</v>
      </c>
      <c r="C19" s="53" t="s">
        <v>65</v>
      </c>
      <c r="D19" s="60">
        <f t="shared" si="0"/>
        <v>526</v>
      </c>
      <c r="E19" s="54">
        <f>'2025 по квартально'!D20</f>
        <v>36</v>
      </c>
      <c r="F19" s="54">
        <v>390</v>
      </c>
      <c r="G19" s="54">
        <v>40</v>
      </c>
      <c r="H19" s="54">
        <v>60</v>
      </c>
    </row>
    <row r="20" spans="1:9" ht="38.25" x14ac:dyDescent="0.2">
      <c r="A20" s="53" t="s">
        <v>84</v>
      </c>
      <c r="B20" s="40" t="s">
        <v>85</v>
      </c>
      <c r="C20" s="53" t="s">
        <v>65</v>
      </c>
      <c r="D20" s="49">
        <f t="shared" si="0"/>
        <v>361</v>
      </c>
      <c r="E20" s="54">
        <f>'2025 по квартально'!D21</f>
        <v>21</v>
      </c>
      <c r="F20" s="54">
        <v>260</v>
      </c>
      <c r="G20" s="54">
        <v>30</v>
      </c>
      <c r="H20" s="54">
        <v>50</v>
      </c>
    </row>
    <row r="21" spans="1:9" x14ac:dyDescent="0.2">
      <c r="A21" s="53">
        <v>6</v>
      </c>
      <c r="B21" s="55" t="s">
        <v>86</v>
      </c>
      <c r="C21" s="50" t="s">
        <v>65</v>
      </c>
      <c r="D21" s="56">
        <f t="shared" si="0"/>
        <v>67167.600000000006</v>
      </c>
      <c r="E21" s="52">
        <f>E2+E6+E10+E14</f>
        <v>8311</v>
      </c>
      <c r="F21" s="52">
        <f>F2+F6+F10+F14</f>
        <v>38723</v>
      </c>
      <c r="G21" s="52">
        <f>G2+G6+G10+G14</f>
        <v>10079.000000000002</v>
      </c>
      <c r="H21" s="52">
        <f>H2+H6+H10+H14</f>
        <v>10054.6</v>
      </c>
      <c r="I21" s="157"/>
    </row>
    <row r="22" spans="1:9" ht="48.75" customHeight="1" x14ac:dyDescent="0.2">
      <c r="B22" s="176" t="s">
        <v>87</v>
      </c>
      <c r="C22" s="176"/>
      <c r="D22" s="176"/>
      <c r="E22" s="176"/>
      <c r="F22" s="176"/>
      <c r="G22" s="176"/>
      <c r="H22" s="176"/>
      <c r="I22" s="156"/>
    </row>
  </sheetData>
  <mergeCells count="1">
    <mergeCell ref="B22:H22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85" workbookViewId="0">
      <pane xSplit="2" ySplit="7" topLeftCell="C20" activePane="bottomRight" state="frozen"/>
      <selection activeCell="J27" sqref="J27"/>
      <selection pane="topRight"/>
      <selection pane="bottomLeft"/>
      <selection pane="bottomRight" activeCell="F26" sqref="F26"/>
    </sheetView>
  </sheetViews>
  <sheetFormatPr defaultRowHeight="15" x14ac:dyDescent="0.25"/>
  <cols>
    <col min="1" max="1" width="6.5703125" customWidth="1"/>
    <col min="2" max="2" width="43.42578125" customWidth="1"/>
    <col min="3" max="3" width="12.5703125" customWidth="1"/>
    <col min="4" max="4" width="11" customWidth="1"/>
    <col min="5" max="5" width="14.5703125" customWidth="1"/>
    <col min="6" max="6" width="14.7109375" customWidth="1"/>
    <col min="7" max="7" width="15" customWidth="1"/>
    <col min="8" max="8" width="14.42578125" customWidth="1"/>
    <col min="9" max="9" width="11" customWidth="1"/>
    <col min="10" max="11" width="14.85546875" customWidth="1"/>
    <col min="12" max="12" width="14" customWidth="1"/>
    <col min="13" max="13" width="14.42578125" bestFit="1" customWidth="1"/>
    <col min="14" max="19" width="14.42578125" customWidth="1"/>
    <col min="20" max="20" width="14.5703125" customWidth="1"/>
    <col min="21" max="21" width="16.28515625" customWidth="1"/>
    <col min="22" max="22" width="16.42578125" customWidth="1"/>
  </cols>
  <sheetData>
    <row r="1" spans="1:24" ht="18.75" x14ac:dyDescent="0.3">
      <c r="A1" s="195" t="s">
        <v>88</v>
      </c>
      <c r="B1" s="195"/>
      <c r="C1" s="195"/>
      <c r="D1" s="195"/>
      <c r="E1" s="195"/>
      <c r="F1" s="195"/>
      <c r="G1" s="195"/>
    </row>
    <row r="4" spans="1:24" x14ac:dyDescent="0.25">
      <c r="A4" s="196" t="s">
        <v>19</v>
      </c>
      <c r="B4" s="199" t="s">
        <v>20</v>
      </c>
      <c r="C4" s="202"/>
      <c r="D4" s="205">
        <v>2025</v>
      </c>
      <c r="E4" s="186"/>
      <c r="F4" s="186"/>
      <c r="G4" s="206"/>
      <c r="H4" s="185">
        <v>2026</v>
      </c>
      <c r="I4" s="186"/>
      <c r="J4" s="186"/>
      <c r="K4" s="187"/>
      <c r="L4" s="185">
        <v>2027</v>
      </c>
      <c r="M4" s="186"/>
      <c r="N4" s="186"/>
      <c r="O4" s="187"/>
      <c r="P4" s="185">
        <v>2028</v>
      </c>
      <c r="Q4" s="186"/>
      <c r="R4" s="186"/>
      <c r="S4" s="187"/>
      <c r="T4" s="185" t="s">
        <v>89</v>
      </c>
      <c r="U4" s="186"/>
      <c r="V4" s="187"/>
    </row>
    <row r="5" spans="1:24" ht="38.25" x14ac:dyDescent="0.25">
      <c r="A5" s="197"/>
      <c r="B5" s="200"/>
      <c r="C5" s="203"/>
      <c r="D5" s="188" t="s">
        <v>90</v>
      </c>
      <c r="E5" s="53" t="s">
        <v>91</v>
      </c>
      <c r="F5" s="190" t="s">
        <v>61</v>
      </c>
      <c r="G5" s="191"/>
      <c r="H5" s="192" t="s">
        <v>90</v>
      </c>
      <c r="I5" s="53" t="s">
        <v>91</v>
      </c>
      <c r="J5" s="190" t="s">
        <v>61</v>
      </c>
      <c r="K5" s="194"/>
      <c r="L5" s="192" t="s">
        <v>90</v>
      </c>
      <c r="M5" s="53" t="s">
        <v>91</v>
      </c>
      <c r="N5" s="190" t="s">
        <v>61</v>
      </c>
      <c r="O5" s="194"/>
      <c r="P5" s="192" t="s">
        <v>90</v>
      </c>
      <c r="Q5" s="53" t="s">
        <v>91</v>
      </c>
      <c r="R5" s="190" t="s">
        <v>61</v>
      </c>
      <c r="S5" s="194"/>
      <c r="T5" s="192" t="s">
        <v>90</v>
      </c>
      <c r="U5" s="190" t="s">
        <v>61</v>
      </c>
      <c r="V5" s="194"/>
    </row>
    <row r="6" spans="1:24" ht="25.5" x14ac:dyDescent="0.25">
      <c r="A6" s="198"/>
      <c r="B6" s="201"/>
      <c r="C6" s="204"/>
      <c r="D6" s="189"/>
      <c r="E6" s="64" t="s">
        <v>92</v>
      </c>
      <c r="F6" s="64" t="s">
        <v>93</v>
      </c>
      <c r="G6" s="65" t="s">
        <v>94</v>
      </c>
      <c r="H6" s="193"/>
      <c r="I6" s="64" t="s">
        <v>92</v>
      </c>
      <c r="J6" s="64" t="s">
        <v>93</v>
      </c>
      <c r="K6" s="66" t="s">
        <v>94</v>
      </c>
      <c r="L6" s="193"/>
      <c r="M6" s="64" t="s">
        <v>92</v>
      </c>
      <c r="N6" s="64" t="s">
        <v>93</v>
      </c>
      <c r="O6" s="66" t="s">
        <v>94</v>
      </c>
      <c r="P6" s="193"/>
      <c r="Q6" s="64" t="s">
        <v>92</v>
      </c>
      <c r="R6" s="64" t="s">
        <v>93</v>
      </c>
      <c r="S6" s="66" t="s">
        <v>94</v>
      </c>
      <c r="T6" s="193"/>
      <c r="U6" s="64" t="s">
        <v>93</v>
      </c>
      <c r="V6" s="66" t="s">
        <v>94</v>
      </c>
    </row>
    <row r="7" spans="1:24" s="67" customFormat="1" x14ac:dyDescent="0.25">
      <c r="A7" s="68">
        <v>1</v>
      </c>
      <c r="B7" s="69" t="s">
        <v>95</v>
      </c>
      <c r="C7" s="70"/>
      <c r="D7" s="71">
        <f>SUM(D8:D10)</f>
        <v>7792</v>
      </c>
      <c r="E7" s="72"/>
      <c r="F7" s="73">
        <f>SUM(F8:F10)</f>
        <v>78610.075960000002</v>
      </c>
      <c r="G7" s="74">
        <f>SUM(G8:G10)</f>
        <v>94332.091152000008</v>
      </c>
      <c r="H7" s="75">
        <f>SUM(H8:H10)</f>
        <v>35474</v>
      </c>
      <c r="I7" s="72"/>
      <c r="J7" s="76">
        <f>SUM(J8:J9)</f>
        <v>374544.01579734677</v>
      </c>
      <c r="K7" s="77">
        <f>SUM(K8:K9)</f>
        <v>449452.8189568161</v>
      </c>
      <c r="L7" s="75">
        <f>SUM(L8:L10)</f>
        <v>9327.0000000000018</v>
      </c>
      <c r="M7" s="72"/>
      <c r="N7" s="76">
        <f>SUM(N8:N9)</f>
        <v>102399.88260413973</v>
      </c>
      <c r="O7" s="77">
        <f>SUM(O8:O9)</f>
        <v>122879.85912496767</v>
      </c>
      <c r="P7" s="75">
        <f>SUM(P8:P10)</f>
        <v>9265.6</v>
      </c>
      <c r="Q7" s="72"/>
      <c r="R7" s="76">
        <f>SUM(R8:R9)</f>
        <v>105772.23118616955</v>
      </c>
      <c r="S7" s="77">
        <f>SUM(S8:S9)</f>
        <v>126926.67742340345</v>
      </c>
      <c r="T7" s="75">
        <f>SUM(T8:T10)</f>
        <v>61858.600000000006</v>
      </c>
      <c r="U7" s="71">
        <f>SUM(U8:U10)</f>
        <v>661326.20554765605</v>
      </c>
      <c r="V7" s="77">
        <f>SUM(V8:V10)</f>
        <v>793591.44665718719</v>
      </c>
      <c r="X7" s="78"/>
    </row>
    <row r="8" spans="1:24" ht="38.25" x14ac:dyDescent="0.25">
      <c r="A8" s="62" t="s">
        <v>31</v>
      </c>
      <c r="B8" s="40" t="s">
        <v>64</v>
      </c>
      <c r="C8" s="63"/>
      <c r="D8" s="79">
        <f>' Кол-во ПУ'!E3</f>
        <v>6398</v>
      </c>
      <c r="E8" s="42">
        <f>'расч. ср.ст'!D8</f>
        <v>10187.26</v>
      </c>
      <c r="F8" s="80">
        <f t="shared" ref="F8:F9" si="0">E8*D8/1000</f>
        <v>65178.089480000002</v>
      </c>
      <c r="G8" s="81">
        <f t="shared" ref="G8:G9" si="1">F8*1.2</f>
        <v>78213.707376000006</v>
      </c>
      <c r="H8" s="82">
        <f>' Кол-во ПУ'!F3</f>
        <v>32016.600000000002</v>
      </c>
      <c r="I8" s="42">
        <f>'расч. ср.ст'!G8</f>
        <v>10622.292187281015</v>
      </c>
      <c r="J8" s="54">
        <f t="shared" ref="J8:J9" si="2">I8*H8/1000</f>
        <v>340089.68004330137</v>
      </c>
      <c r="K8" s="83">
        <f t="shared" ref="K8:K9" si="3">J8*1.2</f>
        <v>408107.61605196161</v>
      </c>
      <c r="L8" s="82">
        <f>' Кол-во ПУ'!G3</f>
        <v>8394.3000000000011</v>
      </c>
      <c r="M8" s="42">
        <f>'расч. ср.ст'!J8</f>
        <v>11047.183874772256</v>
      </c>
      <c r="N8" s="54">
        <f t="shared" ref="N8:N9" si="4">M8*L8/1000</f>
        <v>92733.375600000756</v>
      </c>
      <c r="O8" s="83">
        <f t="shared" ref="O8:O9" si="5">N8*1.2</f>
        <v>111280.0507200009</v>
      </c>
      <c r="P8" s="82">
        <f>' Кол-во ПУ'!H3</f>
        <v>8337.6</v>
      </c>
      <c r="Q8" s="42">
        <f>'расч. ср.ст'!M8</f>
        <v>11489.071229763147</v>
      </c>
      <c r="R8" s="54">
        <f t="shared" ref="R8:R9" si="6">Q8*P8/1000</f>
        <v>95791.280285273227</v>
      </c>
      <c r="S8" s="83">
        <f t="shared" ref="S8:S9" si="7">R8*1.2</f>
        <v>114949.53634232788</v>
      </c>
      <c r="T8" s="84">
        <f t="shared" ref="T8:T10" si="8">D8+H8+L8+P8</f>
        <v>55146.500000000007</v>
      </c>
      <c r="U8" s="49">
        <f t="shared" ref="U8:U10" si="9">F8+J8+N8+R8</f>
        <v>593792.42540857533</v>
      </c>
      <c r="V8" s="85">
        <f t="shared" ref="V8:V10" si="10">G8+K8+O8+S8</f>
        <v>712550.91049029038</v>
      </c>
      <c r="X8" s="78"/>
    </row>
    <row r="9" spans="1:24" ht="25.5" x14ac:dyDescent="0.25">
      <c r="A9" s="62" t="s">
        <v>33</v>
      </c>
      <c r="B9" s="40" t="s">
        <v>66</v>
      </c>
      <c r="C9" s="63"/>
      <c r="D9" s="79">
        <f>' Кол-во ПУ'!E4</f>
        <v>1382</v>
      </c>
      <c r="E9" s="42">
        <f>'расч. ср.ст'!D9</f>
        <v>9557.26</v>
      </c>
      <c r="F9" s="80">
        <f t="shared" si="0"/>
        <v>13208.133320000001</v>
      </c>
      <c r="G9" s="81">
        <f t="shared" si="1"/>
        <v>15849.759984</v>
      </c>
      <c r="H9" s="82">
        <f>' Кол-во ПУ'!F4</f>
        <v>3457.4</v>
      </c>
      <c r="I9" s="42">
        <f>'расч. ср.ст'!G9</f>
        <v>9965.3889495127587</v>
      </c>
      <c r="J9" s="54">
        <f t="shared" si="2"/>
        <v>34454.335754045409</v>
      </c>
      <c r="K9" s="83">
        <f t="shared" si="3"/>
        <v>41345.202904854486</v>
      </c>
      <c r="L9" s="82">
        <f>' Кол-во ПУ'!G4</f>
        <v>932.7</v>
      </c>
      <c r="M9" s="42">
        <f>'расч. ср.ст'!J9</f>
        <v>10364.00450749327</v>
      </c>
      <c r="N9" s="54">
        <f t="shared" si="4"/>
        <v>9666.5070041389718</v>
      </c>
      <c r="O9" s="83">
        <f t="shared" si="5"/>
        <v>11599.808404966765</v>
      </c>
      <c r="P9" s="82">
        <f>' Кол-во ПУ'!H4</f>
        <v>926</v>
      </c>
      <c r="Q9" s="42">
        <f>'расч. ср.ст'!M9</f>
        <v>10778.564687793001</v>
      </c>
      <c r="R9" s="54">
        <f t="shared" si="6"/>
        <v>9980.9509008963178</v>
      </c>
      <c r="S9" s="83">
        <f t="shared" si="7"/>
        <v>11977.141081075581</v>
      </c>
      <c r="T9" s="84">
        <f t="shared" si="8"/>
        <v>6698.0999999999995</v>
      </c>
      <c r="U9" s="49">
        <f t="shared" si="9"/>
        <v>67309.926979080701</v>
      </c>
      <c r="V9" s="85">
        <f t="shared" si="10"/>
        <v>80771.912374896827</v>
      </c>
      <c r="X9" s="78"/>
    </row>
    <row r="10" spans="1:24" ht="25.5" x14ac:dyDescent="0.25">
      <c r="A10" s="62" t="s">
        <v>35</v>
      </c>
      <c r="B10" s="40" t="s">
        <v>67</v>
      </c>
      <c r="C10" s="63"/>
      <c r="D10" s="79">
        <f>' Кол-во ПУ'!E5</f>
        <v>12</v>
      </c>
      <c r="E10" s="42">
        <f>'расч. ср.ст'!D10</f>
        <v>18654.43</v>
      </c>
      <c r="F10" s="80">
        <f>E10*D10/1000</f>
        <v>223.85316</v>
      </c>
      <c r="G10" s="81">
        <f>F10*1.2</f>
        <v>268.62379199999998</v>
      </c>
      <c r="H10" s="82">
        <f>' Кол-во ПУ'!F5</f>
        <v>0</v>
      </c>
      <c r="I10" s="42"/>
      <c r="J10" s="54"/>
      <c r="K10" s="86"/>
      <c r="L10" s="82">
        <f>' Кол-во ПУ'!G5</f>
        <v>0</v>
      </c>
      <c r="M10" s="42"/>
      <c r="N10" s="54"/>
      <c r="O10" s="86"/>
      <c r="P10" s="82">
        <f>' Кол-во ПУ'!H5</f>
        <v>2</v>
      </c>
      <c r="Q10" s="42"/>
      <c r="R10" s="54"/>
      <c r="S10" s="86"/>
      <c r="T10" s="84">
        <f t="shared" si="8"/>
        <v>14</v>
      </c>
      <c r="U10" s="49">
        <f t="shared" si="9"/>
        <v>223.85316</v>
      </c>
      <c r="V10" s="85">
        <f t="shared" si="10"/>
        <v>268.62379199999998</v>
      </c>
      <c r="X10" s="78"/>
    </row>
    <row r="11" spans="1:24" s="67" customFormat="1" x14ac:dyDescent="0.25">
      <c r="A11" s="87" t="s">
        <v>68</v>
      </c>
      <c r="B11" s="88" t="s">
        <v>69</v>
      </c>
      <c r="C11" s="89"/>
      <c r="D11" s="90">
        <f>SUM(D12:D14)</f>
        <v>28</v>
      </c>
      <c r="E11" s="91"/>
      <c r="F11" s="92">
        <f>SUM(F12:F14)</f>
        <v>594.70030999999994</v>
      </c>
      <c r="G11" s="93">
        <f>SUM(G12:G14)</f>
        <v>713.64037199999996</v>
      </c>
      <c r="H11" s="94">
        <f>SUM(H12:H14)</f>
        <v>6</v>
      </c>
      <c r="I11" s="91"/>
      <c r="J11" s="52">
        <f>SUM(J12:J14)</f>
        <v>134.82513532144225</v>
      </c>
      <c r="K11" s="95">
        <f>SUM(K12:K14)</f>
        <v>161.7901623857307</v>
      </c>
      <c r="L11" s="94">
        <f>SUM(L12:L14)</f>
        <v>10</v>
      </c>
      <c r="M11" s="91"/>
      <c r="N11" s="52">
        <f>SUM(N12:N14)</f>
        <v>233.69690122383324</v>
      </c>
      <c r="O11" s="95">
        <f>SUM(O12:O14)</f>
        <v>280.43628146859987</v>
      </c>
      <c r="P11" s="94">
        <f>SUM(P12:P14)</f>
        <v>7</v>
      </c>
      <c r="Q11" s="91"/>
      <c r="R11" s="52">
        <f>SUM(R12:R14)</f>
        <v>170.13134409095059</v>
      </c>
      <c r="S11" s="95">
        <f>SUM(S12:S14)</f>
        <v>204.15761290914071</v>
      </c>
      <c r="T11" s="94">
        <f>SUM(T12:T14)</f>
        <v>51</v>
      </c>
      <c r="U11" s="94">
        <f>SUM(U12:U14)</f>
        <v>1133.353690636226</v>
      </c>
      <c r="V11" s="96">
        <f>SUM(V12:V14)</f>
        <v>1360.0244287634712</v>
      </c>
      <c r="X11" s="78"/>
    </row>
    <row r="12" spans="1:24" ht="25.5" x14ac:dyDescent="0.25">
      <c r="A12" s="62" t="s">
        <v>70</v>
      </c>
      <c r="B12" s="40" t="s">
        <v>96</v>
      </c>
      <c r="C12" s="63"/>
      <c r="D12" s="79">
        <f>' Кол-во ПУ'!E7</f>
        <v>25</v>
      </c>
      <c r="E12" s="42">
        <f>'расч. ср.ст'!D12</f>
        <v>21550.57</v>
      </c>
      <c r="F12" s="80">
        <f t="shared" ref="F12:F14" si="11">E12*D12/1000</f>
        <v>538.76424999999995</v>
      </c>
      <c r="G12" s="81">
        <f t="shared" ref="G12:G14" si="12">F12*1.2</f>
        <v>646.51709999999991</v>
      </c>
      <c r="H12" s="82">
        <f>' Кол-во ПУ'!F7</f>
        <v>6</v>
      </c>
      <c r="I12" s="42">
        <f>'расч. ср.ст'!G12</f>
        <v>22470.85588690704</v>
      </c>
      <c r="J12" s="54">
        <f t="shared" ref="J12:J14" si="13">I12*H12/1000</f>
        <v>134.82513532144225</v>
      </c>
      <c r="K12" s="83">
        <f t="shared" ref="K12:K14" si="14">J12*1.2</f>
        <v>161.7901623857307</v>
      </c>
      <c r="L12" s="59">
        <f>' Кол-во ПУ'!G7</f>
        <v>10</v>
      </c>
      <c r="M12" s="42">
        <f>'расч. ср.ст'!J12</f>
        <v>23369.690122383323</v>
      </c>
      <c r="N12" s="54">
        <f t="shared" ref="N12:N14" si="15">M12*L12/1000</f>
        <v>233.69690122383324</v>
      </c>
      <c r="O12" s="83">
        <f t="shared" ref="O12:O14" si="16">N12*1.2</f>
        <v>280.43628146859987</v>
      </c>
      <c r="P12" s="59">
        <f>' Кол-во ПУ'!H7</f>
        <v>7</v>
      </c>
      <c r="Q12" s="42">
        <f>'расч. ср.ст'!M12</f>
        <v>24304.477727278656</v>
      </c>
      <c r="R12" s="54">
        <f t="shared" ref="R12:R14" si="17">Q12*P12/1000</f>
        <v>170.13134409095059</v>
      </c>
      <c r="S12" s="83">
        <f t="shared" ref="S12:S14" si="18">R12*1.2</f>
        <v>204.15761290914071</v>
      </c>
      <c r="T12" s="84">
        <f t="shared" ref="T12:T14" si="19">D12+H12+L12+P12</f>
        <v>48</v>
      </c>
      <c r="U12" s="49">
        <f t="shared" ref="U12:V14" si="20">F12+J12+N12+R12</f>
        <v>1077.417630636226</v>
      </c>
      <c r="V12" s="85">
        <f t="shared" si="20"/>
        <v>1292.9011567634711</v>
      </c>
      <c r="X12" s="78"/>
    </row>
    <row r="13" spans="1:24" ht="38.25" x14ac:dyDescent="0.25">
      <c r="A13" s="97" t="s">
        <v>72</v>
      </c>
      <c r="B13" s="40" t="s">
        <v>97</v>
      </c>
      <c r="C13" s="63"/>
      <c r="D13" s="79">
        <f>' Кол-во ПУ'!E8</f>
        <v>1</v>
      </c>
      <c r="E13" s="42">
        <f>'расч. ср.ст'!D13</f>
        <v>36145.68</v>
      </c>
      <c r="F13" s="80">
        <f t="shared" si="11"/>
        <v>36.145679999999999</v>
      </c>
      <c r="G13" s="81">
        <f t="shared" si="12"/>
        <v>43.374815999999996</v>
      </c>
      <c r="H13" s="82">
        <f>' Кол-во ПУ'!F8</f>
        <v>0</v>
      </c>
      <c r="I13" s="42">
        <f>'расч. ср.ст'!G13</f>
        <v>37689.228925929012</v>
      </c>
      <c r="J13" s="54">
        <f t="shared" si="13"/>
        <v>0</v>
      </c>
      <c r="K13" s="83">
        <f t="shared" si="14"/>
        <v>0</v>
      </c>
      <c r="L13" s="82">
        <f>' Кол-во ПУ'!G8</f>
        <v>0</v>
      </c>
      <c r="M13" s="42">
        <f>'расч. ср.ст'!J13</f>
        <v>39196.798082966176</v>
      </c>
      <c r="N13" s="54">
        <f t="shared" si="15"/>
        <v>0</v>
      </c>
      <c r="O13" s="83">
        <f t="shared" si="16"/>
        <v>0</v>
      </c>
      <c r="P13" s="82">
        <f>' Кол-во ПУ'!H8</f>
        <v>0</v>
      </c>
      <c r="Q13" s="42">
        <f>'расч. ср.ст'!M13</f>
        <v>40764.670006284825</v>
      </c>
      <c r="R13" s="54">
        <f t="shared" si="17"/>
        <v>0</v>
      </c>
      <c r="S13" s="83">
        <f t="shared" si="18"/>
        <v>0</v>
      </c>
      <c r="T13" s="84">
        <f t="shared" si="19"/>
        <v>1</v>
      </c>
      <c r="U13" s="49">
        <f t="shared" si="20"/>
        <v>36.145679999999999</v>
      </c>
      <c r="V13" s="85">
        <f t="shared" si="20"/>
        <v>43.374815999999996</v>
      </c>
      <c r="X13" s="78"/>
    </row>
    <row r="14" spans="1:24" ht="25.5" x14ac:dyDescent="0.25">
      <c r="A14" s="97" t="s">
        <v>74</v>
      </c>
      <c r="B14" s="40" t="s">
        <v>75</v>
      </c>
      <c r="C14" s="63"/>
      <c r="D14" s="79">
        <f>' Кол-во ПУ'!E9</f>
        <v>2</v>
      </c>
      <c r="E14" s="42">
        <f>'расч. ср.ст'!D14</f>
        <v>9895.19</v>
      </c>
      <c r="F14" s="80">
        <f t="shared" si="11"/>
        <v>19.790380000000003</v>
      </c>
      <c r="G14" s="81">
        <f t="shared" si="12"/>
        <v>23.748456000000001</v>
      </c>
      <c r="H14" s="82">
        <f>' Кол-во ПУ'!F9</f>
        <v>0</v>
      </c>
      <c r="I14" s="42">
        <f>'расч. ср.ст'!G14</f>
        <v>10317.749760844548</v>
      </c>
      <c r="J14" s="54">
        <f t="shared" si="13"/>
        <v>0</v>
      </c>
      <c r="K14" s="83">
        <f t="shared" si="14"/>
        <v>0</v>
      </c>
      <c r="L14" s="59">
        <f>' Кол-во ПУ'!G9</f>
        <v>0</v>
      </c>
      <c r="M14" s="42">
        <f>'расч. ср.ст'!J14</f>
        <v>10730.459751278331</v>
      </c>
      <c r="N14" s="54">
        <f t="shared" si="15"/>
        <v>0</v>
      </c>
      <c r="O14" s="83">
        <f t="shared" si="16"/>
        <v>0</v>
      </c>
      <c r="P14" s="59">
        <f>' Кол-во ПУ'!H9</f>
        <v>0</v>
      </c>
      <c r="Q14" s="42">
        <f>'расч. ср.ст'!M14</f>
        <v>11159.678141329465</v>
      </c>
      <c r="R14" s="54">
        <f t="shared" si="17"/>
        <v>0</v>
      </c>
      <c r="S14" s="83">
        <f t="shared" si="18"/>
        <v>0</v>
      </c>
      <c r="T14" s="84">
        <f t="shared" si="19"/>
        <v>2</v>
      </c>
      <c r="U14" s="49">
        <f t="shared" si="20"/>
        <v>19.790380000000003</v>
      </c>
      <c r="V14" s="85">
        <f t="shared" si="20"/>
        <v>23.748456000000001</v>
      </c>
      <c r="X14" s="78"/>
    </row>
    <row r="15" spans="1:24" s="67" customFormat="1" x14ac:dyDescent="0.25">
      <c r="A15" s="87">
        <v>3</v>
      </c>
      <c r="B15" s="88" t="s">
        <v>76</v>
      </c>
      <c r="C15" s="63"/>
      <c r="D15" s="90">
        <f>SUM(D16:D17)</f>
        <v>103</v>
      </c>
      <c r="E15" s="91"/>
      <c r="F15" s="98">
        <f>SUM(F16:F17)</f>
        <v>3132.2943800000003</v>
      </c>
      <c r="G15" s="93">
        <f>SUM(G16:G17)</f>
        <v>3758.753256</v>
      </c>
      <c r="H15" s="94">
        <f>SUM(H16:H17)</f>
        <v>663</v>
      </c>
      <c r="I15" s="91"/>
      <c r="J15" s="52">
        <f>SUM(J16:J17)</f>
        <v>19977.460904877124</v>
      </c>
      <c r="K15" s="95">
        <f>SUM(K16:K17)</f>
        <v>23972.953085852547</v>
      </c>
      <c r="L15" s="94">
        <f>SUM(L16:L17)</f>
        <v>70</v>
      </c>
      <c r="M15" s="91"/>
      <c r="N15" s="52">
        <f>SUM(N16:N17)</f>
        <v>2223.9209366289515</v>
      </c>
      <c r="O15" s="95">
        <f>SUM(O16:O17)</f>
        <v>2668.7051239547418</v>
      </c>
      <c r="P15" s="94">
        <f>SUM(P16:P17)</f>
        <v>110</v>
      </c>
      <c r="Q15" s="91"/>
      <c r="R15" s="52">
        <f>SUM(R16:R17)</f>
        <v>3681.5513372307614</v>
      </c>
      <c r="S15" s="95">
        <f>SUM(S16:S17)</f>
        <v>4417.861604676913</v>
      </c>
      <c r="T15" s="94">
        <f>SUM(T16:T17)</f>
        <v>946</v>
      </c>
      <c r="U15" s="94">
        <f>SUM(U16:U17)</f>
        <v>29015.227558736835</v>
      </c>
      <c r="V15" s="96">
        <f>SUM(V16:V17)</f>
        <v>34818.273070484203</v>
      </c>
      <c r="X15" s="78"/>
    </row>
    <row r="16" spans="1:24" ht="51" x14ac:dyDescent="0.25">
      <c r="A16" s="62" t="s">
        <v>39</v>
      </c>
      <c r="B16" s="40" t="s">
        <v>77</v>
      </c>
      <c r="C16" s="63"/>
      <c r="D16" s="79">
        <f>' Кол-во ПУ'!E11</f>
        <v>51</v>
      </c>
      <c r="E16" s="42">
        <f>'расч. ср.ст'!D16</f>
        <v>23042.22</v>
      </c>
      <c r="F16" s="80">
        <f t="shared" ref="F16:F17" si="21">E16*D16/1000</f>
        <v>1175.1532199999999</v>
      </c>
      <c r="G16" s="81">
        <f t="shared" ref="G16:G21" si="22">F16*1.2</f>
        <v>1410.1838639999999</v>
      </c>
      <c r="H16" s="82">
        <f>' Кол-во ПУ'!F11</f>
        <v>397</v>
      </c>
      <c r="I16" s="42">
        <f>'расч. ср.ст'!G16</f>
        <v>24026.204640267388</v>
      </c>
      <c r="J16" s="54">
        <f t="shared" ref="J16:J17" si="23">I16*H16/1000</f>
        <v>9538.4032421861539</v>
      </c>
      <c r="K16" s="83">
        <f t="shared" ref="K16:K17" si="24">J16*1.2</f>
        <v>11446.083890623384</v>
      </c>
      <c r="L16" s="59">
        <f>' Кол-во ПУ'!G11</f>
        <v>40</v>
      </c>
      <c r="M16" s="42">
        <f>'расч. ср.ст'!J16</f>
        <v>24987.252825878084</v>
      </c>
      <c r="N16" s="54">
        <f t="shared" ref="N16:N17" si="25">M16*L16/1000</f>
        <v>999.49011303512339</v>
      </c>
      <c r="O16" s="83">
        <f t="shared" ref="O16:O17" si="26">N16*1.2</f>
        <v>1199.388135642148</v>
      </c>
      <c r="P16" s="82">
        <f>' Кол-во ПУ'!H11</f>
        <v>60</v>
      </c>
      <c r="Q16" s="42">
        <f>'расч. ср.ст'!M16</f>
        <v>25986.742938913208</v>
      </c>
      <c r="R16" s="54">
        <f t="shared" ref="R16:R17" si="27">Q16*P16/1000</f>
        <v>1559.2045763347924</v>
      </c>
      <c r="S16" s="83">
        <f t="shared" ref="S16:S17" si="28">R16*1.2</f>
        <v>1871.0454916017507</v>
      </c>
      <c r="T16" s="84">
        <f t="shared" ref="T16:T17" si="29">D16+H16+L16+P16</f>
        <v>548</v>
      </c>
      <c r="U16" s="49">
        <f t="shared" ref="U16:U17" si="30">F16+J16+N16+R16</f>
        <v>13272.251151556069</v>
      </c>
      <c r="V16" s="85">
        <f t="shared" ref="V16:V17" si="31">G16+K16+O16+S16</f>
        <v>15926.701381867282</v>
      </c>
      <c r="X16" s="78"/>
    </row>
    <row r="17" spans="1:24" ht="63.75" x14ac:dyDescent="0.25">
      <c r="A17" s="62" t="s">
        <v>41</v>
      </c>
      <c r="B17" s="40" t="s">
        <v>78</v>
      </c>
      <c r="C17" s="63"/>
      <c r="D17" s="79">
        <f>' Кол-во ПУ'!E12</f>
        <v>52</v>
      </c>
      <c r="E17" s="99">
        <f>'расч. ср.ст'!D17</f>
        <v>37637.33</v>
      </c>
      <c r="F17" s="80">
        <f t="shared" si="21"/>
        <v>1957.1411600000001</v>
      </c>
      <c r="G17" s="100">
        <f t="shared" si="22"/>
        <v>2348.5693919999999</v>
      </c>
      <c r="H17" s="82">
        <f>' Кол-во ПУ'!F12</f>
        <v>266</v>
      </c>
      <c r="I17" s="99">
        <f>'расч. ср.ст'!G17</f>
        <v>39244.577679289367</v>
      </c>
      <c r="J17" s="54">
        <f t="shared" si="23"/>
        <v>10439.057662690971</v>
      </c>
      <c r="K17" s="86">
        <f t="shared" si="24"/>
        <v>12526.869195229165</v>
      </c>
      <c r="L17" s="82">
        <f>' Кол-во ПУ'!G12</f>
        <v>30</v>
      </c>
      <c r="M17" s="99">
        <f>'расч. ср.ст'!J17</f>
        <v>40814.360786460944</v>
      </c>
      <c r="N17" s="54">
        <f t="shared" si="25"/>
        <v>1224.4308235938283</v>
      </c>
      <c r="O17" s="86">
        <f t="shared" si="26"/>
        <v>1469.316988312594</v>
      </c>
      <c r="P17" s="82">
        <f>' Кол-во ПУ'!H12</f>
        <v>50</v>
      </c>
      <c r="Q17" s="99">
        <f>'расч. ср.ст'!M17</f>
        <v>42446.935217919381</v>
      </c>
      <c r="R17" s="54">
        <f t="shared" si="27"/>
        <v>2122.3467608959691</v>
      </c>
      <c r="S17" s="86">
        <f t="shared" si="28"/>
        <v>2546.8161130751628</v>
      </c>
      <c r="T17" s="84">
        <f t="shared" si="29"/>
        <v>398</v>
      </c>
      <c r="U17" s="49">
        <f t="shared" si="30"/>
        <v>15742.976407180768</v>
      </c>
      <c r="V17" s="85">
        <f t="shared" si="31"/>
        <v>18891.571688616921</v>
      </c>
      <c r="X17" s="78"/>
    </row>
    <row r="18" spans="1:24" x14ac:dyDescent="0.25">
      <c r="A18" s="87"/>
      <c r="B18" s="55" t="s">
        <v>62</v>
      </c>
      <c r="C18" s="89"/>
      <c r="D18" s="90">
        <f>D7+D11+D15</f>
        <v>7923</v>
      </c>
      <c r="E18" s="91"/>
      <c r="F18" s="98">
        <f>F7+F11+F15</f>
        <v>82337.070650000009</v>
      </c>
      <c r="G18" s="93">
        <f>G7+G11+G15</f>
        <v>98804.484779999999</v>
      </c>
      <c r="H18" s="94">
        <f>H7+H11+H15</f>
        <v>36143</v>
      </c>
      <c r="I18" s="101"/>
      <c r="J18" s="52">
        <f>J7+J11+J15</f>
        <v>394656.3018375453</v>
      </c>
      <c r="K18" s="95">
        <f>K7+K11+K15</f>
        <v>473587.56220505439</v>
      </c>
      <c r="L18" s="94">
        <f>L7+L11+L15</f>
        <v>9407.0000000000018</v>
      </c>
      <c r="M18" s="101"/>
      <c r="N18" s="52">
        <f>N7+N11+N15</f>
        <v>104857.50044199251</v>
      </c>
      <c r="O18" s="95">
        <f>O7+O11+O15</f>
        <v>125829.00053039101</v>
      </c>
      <c r="P18" s="94">
        <f>P7+P11+P15</f>
        <v>9382.6</v>
      </c>
      <c r="Q18" s="101"/>
      <c r="R18" s="52">
        <f>R7+R11+R15</f>
        <v>109623.91386749125</v>
      </c>
      <c r="S18" s="95">
        <f>S7+S11+S15</f>
        <v>131548.69664098951</v>
      </c>
      <c r="T18" s="94">
        <f>T7+T11+T15</f>
        <v>62855.600000000006</v>
      </c>
      <c r="U18" s="52">
        <f>U7+U11+U15</f>
        <v>691474.78679702908</v>
      </c>
      <c r="V18" s="95">
        <f>V7+V11+V15</f>
        <v>829769.74415643478</v>
      </c>
      <c r="X18" s="78"/>
    </row>
    <row r="19" spans="1:24" s="67" customFormat="1" x14ac:dyDescent="0.25">
      <c r="A19" s="87">
        <v>4</v>
      </c>
      <c r="B19" s="55" t="s">
        <v>79</v>
      </c>
      <c r="C19" s="89"/>
      <c r="D19" s="90">
        <f>SUM(D20:D21)</f>
        <v>388</v>
      </c>
      <c r="E19" s="102"/>
      <c r="F19" s="92">
        <f>SUM(F20:F21)</f>
        <v>14214.696940000002</v>
      </c>
      <c r="G19" s="93">
        <f>SUM(G20:G21)</f>
        <v>17057.636328000001</v>
      </c>
      <c r="H19" s="94">
        <f>SUM(H20:H21)</f>
        <v>2580</v>
      </c>
      <c r="I19" s="102"/>
      <c r="J19" s="52">
        <f>SUM(J20:J21)</f>
        <v>81989.349511500972</v>
      </c>
      <c r="K19" s="95">
        <f>SUM(K20:K21)</f>
        <v>98387.219413801184</v>
      </c>
      <c r="L19" s="94">
        <f>SUM(L20:L21)</f>
        <v>672</v>
      </c>
      <c r="M19" s="102"/>
      <c r="N19" s="52">
        <f>SUM(N20:N21)</f>
        <v>22209.58007232473</v>
      </c>
      <c r="O19" s="95">
        <f>SUM(O20:O21)</f>
        <v>26651.496086789673</v>
      </c>
      <c r="P19" s="94">
        <f>SUM(P20:P21)</f>
        <v>672</v>
      </c>
      <c r="Q19" s="102"/>
      <c r="R19" s="52">
        <f>SUM(R20:R21)</f>
        <v>23097.96327521772</v>
      </c>
      <c r="S19" s="95">
        <f>SUM(S20:S21)</f>
        <v>27717.555930261267</v>
      </c>
      <c r="T19" s="103">
        <f>SUM(T20:T21)</f>
        <v>4312</v>
      </c>
      <c r="U19" s="52">
        <f>SUM(U20:U21)</f>
        <v>141511.58979904343</v>
      </c>
      <c r="V19" s="95">
        <f>SUM(V20:V21)</f>
        <v>169813.90775885212</v>
      </c>
      <c r="X19" s="78"/>
    </row>
    <row r="20" spans="1:24" ht="25.5" x14ac:dyDescent="0.25">
      <c r="A20" s="62" t="s">
        <v>47</v>
      </c>
      <c r="B20" s="40" t="s">
        <v>80</v>
      </c>
      <c r="C20" s="63"/>
      <c r="D20" s="79">
        <f>' Кол-во ПУ'!E15</f>
        <v>150</v>
      </c>
      <c r="E20" s="99">
        <f>'расч. ср.ст'!D19</f>
        <v>64290.92</v>
      </c>
      <c r="F20" s="80">
        <f t="shared" ref="F20:F21" si="32">E20*D20/1000</f>
        <v>9643.6380000000008</v>
      </c>
      <c r="G20" s="100">
        <f t="shared" si="22"/>
        <v>11572.365600000001</v>
      </c>
      <c r="H20" s="82">
        <f>' Кол-во ПУ'!F15</f>
        <v>645</v>
      </c>
      <c r="I20" s="99">
        <f>'расч. ср.ст'!G19</f>
        <v>67036.370646190306</v>
      </c>
      <c r="J20" s="54">
        <f t="shared" ref="J20:J21" si="33">I20*H20/1000</f>
        <v>43238.459066792748</v>
      </c>
      <c r="K20" s="86">
        <f t="shared" ref="K20:K21" si="34">J20*1.2</f>
        <v>51886.150880151297</v>
      </c>
      <c r="L20" s="60">
        <f>' Кол-во ПУ'!G15</f>
        <v>168</v>
      </c>
      <c r="M20" s="99">
        <f>'расч. ср.ст'!J19</f>
        <v>69717.825472037919</v>
      </c>
      <c r="N20" s="54">
        <f t="shared" ref="N20:N21" si="35">M20*L20/1000</f>
        <v>11712.59467930237</v>
      </c>
      <c r="O20" s="86">
        <f t="shared" ref="O20:O21" si="36">N20*1.2</f>
        <v>14055.113615162843</v>
      </c>
      <c r="P20" s="60">
        <f>' Кол-во ПУ'!H15</f>
        <v>168</v>
      </c>
      <c r="Q20" s="99">
        <f>'расч. ср.ст'!M19</f>
        <v>72506.53849091944</v>
      </c>
      <c r="R20" s="54">
        <f t="shared" ref="R20:R21" si="37">Q20*P20/1000</f>
        <v>12181.098466474466</v>
      </c>
      <c r="S20" s="86">
        <f t="shared" ref="S20:S21" si="38">R20*1.2</f>
        <v>14617.31815976936</v>
      </c>
      <c r="T20" s="84">
        <f t="shared" ref="T20:T21" si="39">D20+H20+L20+P20</f>
        <v>1131</v>
      </c>
      <c r="U20" s="49">
        <f t="shared" ref="U20:U21" si="40">F20+J20+N20+R20</f>
        <v>76775.790212569584</v>
      </c>
      <c r="V20" s="85">
        <f t="shared" ref="V20:V21" si="41">G20+K20+O20+S20</f>
        <v>92130.948255083509</v>
      </c>
      <c r="X20" s="78"/>
    </row>
    <row r="21" spans="1:24" ht="25.5" x14ac:dyDescent="0.25">
      <c r="A21" s="97" t="s">
        <v>49</v>
      </c>
      <c r="B21" s="40" t="s">
        <v>81</v>
      </c>
      <c r="C21" s="63"/>
      <c r="D21" s="79">
        <f>' Кол-во ПУ'!E16</f>
        <v>238</v>
      </c>
      <c r="E21" s="99">
        <f>'расч. ср.ст'!D20</f>
        <v>19206.13</v>
      </c>
      <c r="F21" s="80">
        <f t="shared" si="32"/>
        <v>4571.0589400000008</v>
      </c>
      <c r="G21" s="100">
        <f t="shared" si="22"/>
        <v>5485.2707280000004</v>
      </c>
      <c r="H21" s="82">
        <f>' Кол-во ПУ'!F16</f>
        <v>1935</v>
      </c>
      <c r="I21" s="99">
        <f>'расч. ср.ст'!G20</f>
        <v>20026.29997142544</v>
      </c>
      <c r="J21" s="54">
        <f t="shared" si="33"/>
        <v>38750.890444708231</v>
      </c>
      <c r="K21" s="86">
        <f t="shared" si="34"/>
        <v>46501.068533649879</v>
      </c>
      <c r="L21" s="59">
        <f>' Кол-во ПУ'!G16</f>
        <v>504</v>
      </c>
      <c r="M21" s="99">
        <f>'расч. ср.ст'!J20</f>
        <v>20827.35197028246</v>
      </c>
      <c r="N21" s="54">
        <f t="shared" si="35"/>
        <v>10496.98539302236</v>
      </c>
      <c r="O21" s="86">
        <f t="shared" si="36"/>
        <v>12596.382471626832</v>
      </c>
      <c r="P21" s="59">
        <f>' Кол-во ПУ'!H16</f>
        <v>504</v>
      </c>
      <c r="Q21" s="99">
        <f>'расч. ср.ст'!M20</f>
        <v>21660.44604909376</v>
      </c>
      <c r="R21" s="54">
        <f t="shared" si="37"/>
        <v>10916.864808743256</v>
      </c>
      <c r="S21" s="86">
        <f t="shared" si="38"/>
        <v>13100.237770491907</v>
      </c>
      <c r="T21" s="84">
        <f t="shared" si="39"/>
        <v>3181</v>
      </c>
      <c r="U21" s="49">
        <f t="shared" si="40"/>
        <v>64735.799586473848</v>
      </c>
      <c r="V21" s="85">
        <f t="shared" si="41"/>
        <v>77682.959503768623</v>
      </c>
      <c r="X21" s="78"/>
    </row>
    <row r="22" spans="1:24" s="67" customFormat="1" x14ac:dyDescent="0.25">
      <c r="A22" s="87">
        <v>5</v>
      </c>
      <c r="B22" s="158" t="s">
        <v>98</v>
      </c>
      <c r="C22" s="89"/>
      <c r="D22" s="90">
        <f>SUM(D23:D25)</f>
        <v>11900</v>
      </c>
      <c r="E22" s="101"/>
      <c r="F22" s="92">
        <f>SUM(F23:F25)</f>
        <v>3700.0030399999996</v>
      </c>
      <c r="G22" s="93">
        <f>SUM(G23:G25)</f>
        <v>4440.0036479999999</v>
      </c>
      <c r="H22" s="94">
        <f>SUM(H23:H25)</f>
        <v>31610</v>
      </c>
      <c r="I22" s="101"/>
      <c r="J22" s="52">
        <f>SUM(J23:J25)</f>
        <v>10827.035267076848</v>
      </c>
      <c r="K22" s="95">
        <f>SUM(K23:K25)</f>
        <v>12992.442320492215</v>
      </c>
      <c r="L22" s="94">
        <f>SUM(L23:L25)</f>
        <v>8134</v>
      </c>
      <c r="M22" s="101"/>
      <c r="N22" s="52">
        <f>SUM(N23:N25)</f>
        <v>2780.0297657469337</v>
      </c>
      <c r="O22" s="95">
        <f>SUM(O23:O25)</f>
        <v>3336.0357188963198</v>
      </c>
      <c r="P22" s="94">
        <f>SUM(P23:P25)</f>
        <v>8174</v>
      </c>
      <c r="Q22" s="101"/>
      <c r="R22" s="52">
        <f>SUM(R23:R25)</f>
        <v>2955.2581970170427</v>
      </c>
      <c r="S22" s="95">
        <f>SUM(S23:S25)</f>
        <v>3546.3098364204511</v>
      </c>
      <c r="T22" s="103">
        <f>SUM(T23:T25)</f>
        <v>59818</v>
      </c>
      <c r="U22" s="52">
        <f>SUM(U23:U25)</f>
        <v>20262.326269840822</v>
      </c>
      <c r="V22" s="95">
        <f>SUM(V23:V25)</f>
        <v>24314.791523808988</v>
      </c>
      <c r="X22" s="78"/>
    </row>
    <row r="23" spans="1:24" ht="25.5" x14ac:dyDescent="0.25">
      <c r="A23" s="62" t="s">
        <v>55</v>
      </c>
      <c r="B23" s="40" t="s">
        <v>32</v>
      </c>
      <c r="C23" s="63"/>
      <c r="D23" s="79">
        <f>' Кол-во ПУ'!E18</f>
        <v>11843</v>
      </c>
      <c r="E23" s="99">
        <f>'расч. ср.ст'!D7</f>
        <v>305.58999999999997</v>
      </c>
      <c r="F23" s="80">
        <f t="shared" ref="F23:F25" si="42">E23*D23/1000</f>
        <v>3619.1023699999996</v>
      </c>
      <c r="G23" s="100">
        <f t="shared" ref="G23:G25" si="43">F23*1.2</f>
        <v>4342.9228439999997</v>
      </c>
      <c r="H23" s="82">
        <f>' Кол-во ПУ'!F18</f>
        <v>30960</v>
      </c>
      <c r="I23" s="99">
        <f>'расч. ср.ст'!G7</f>
        <v>318.63977845968446</v>
      </c>
      <c r="J23" s="54">
        <f t="shared" ref="J23:J25" si="44">I23*H23/1000</f>
        <v>9865.0875411118304</v>
      </c>
      <c r="K23" s="86">
        <f t="shared" ref="K23:K25" si="45">J23*1.2</f>
        <v>11838.105049334195</v>
      </c>
      <c r="L23" s="59">
        <f>' Кол-во ПУ'!G18</f>
        <v>8064</v>
      </c>
      <c r="M23" s="99">
        <f>'расч. ср.ст'!J7</f>
        <v>331.38536959807186</v>
      </c>
      <c r="N23" s="54">
        <f t="shared" ref="N23:N25" si="46">M23*L23/1000</f>
        <v>2672.2916204388516</v>
      </c>
      <c r="O23" s="86">
        <f t="shared" ref="O23:O25" si="47">N23*1.2</f>
        <v>3206.7499445266217</v>
      </c>
      <c r="P23" s="59">
        <f>' Кол-во ПУ'!H18</f>
        <v>8064</v>
      </c>
      <c r="Q23" s="99">
        <f>'расч. ср.ст'!M7</f>
        <v>344.64078438199476</v>
      </c>
      <c r="R23" s="54">
        <f t="shared" ref="R23:R25" si="48">Q23*P23/1000</f>
        <v>2779.1832852564057</v>
      </c>
      <c r="S23" s="86">
        <f t="shared" ref="S23:S25" si="49">R23*1.2</f>
        <v>3335.019942307687</v>
      </c>
      <c r="T23" s="84">
        <f t="shared" ref="T23:T25" si="50">D23+H23+L23+P23</f>
        <v>58931</v>
      </c>
      <c r="U23" s="49">
        <f t="shared" ref="U23:V25" si="51">F23+J23+N23+R23</f>
        <v>18935.664816807086</v>
      </c>
      <c r="V23" s="85">
        <f t="shared" si="51"/>
        <v>22722.797780168505</v>
      </c>
      <c r="X23" s="78"/>
    </row>
    <row r="24" spans="1:24" ht="25.5" x14ac:dyDescent="0.25">
      <c r="A24" s="62" t="s">
        <v>57</v>
      </c>
      <c r="B24" s="40" t="s">
        <v>83</v>
      </c>
      <c r="C24" s="63"/>
      <c r="D24" s="79">
        <f>' Кол-во ПУ'!E19</f>
        <v>36</v>
      </c>
      <c r="E24" s="42">
        <f>'расч. ср.ст'!D11</f>
        <v>1419.31</v>
      </c>
      <c r="F24" s="80">
        <f t="shared" si="42"/>
        <v>51.095159999999993</v>
      </c>
      <c r="G24" s="81">
        <f t="shared" si="43"/>
        <v>61.314191999999991</v>
      </c>
      <c r="H24" s="82">
        <f>' Кол-во ПУ'!F19</f>
        <v>390</v>
      </c>
      <c r="I24" s="42">
        <f>'расч. ср.ст'!G11</f>
        <v>1479.9195784077187</v>
      </c>
      <c r="J24" s="54">
        <f t="shared" si="44"/>
        <v>577.16863557901036</v>
      </c>
      <c r="K24" s="83">
        <f t="shared" si="45"/>
        <v>692.60236269481243</v>
      </c>
      <c r="L24" s="82">
        <f>' Кол-во ПУ'!G19</f>
        <v>40</v>
      </c>
      <c r="M24" s="42">
        <f>'расч. ср.ст'!J11</f>
        <v>1539.1163615440275</v>
      </c>
      <c r="N24" s="54">
        <f t="shared" si="46"/>
        <v>61.564654461761101</v>
      </c>
      <c r="O24" s="83">
        <f t="shared" si="47"/>
        <v>73.877585354113322</v>
      </c>
      <c r="P24" s="82">
        <f>' Кол-во ПУ'!H19</f>
        <v>60</v>
      </c>
      <c r="Q24" s="42">
        <f>'расч. ср.ст'!M11</f>
        <v>1600.6810160057887</v>
      </c>
      <c r="R24" s="54">
        <f t="shared" si="48"/>
        <v>96.040860960347317</v>
      </c>
      <c r="S24" s="83">
        <f t="shared" si="49"/>
        <v>115.24903315241677</v>
      </c>
      <c r="T24" s="84">
        <f t="shared" si="50"/>
        <v>526</v>
      </c>
      <c r="U24" s="49">
        <f t="shared" si="51"/>
        <v>785.86931100111872</v>
      </c>
      <c r="V24" s="85">
        <f t="shared" si="51"/>
        <v>943.0431732013426</v>
      </c>
      <c r="X24" s="78"/>
    </row>
    <row r="25" spans="1:24" ht="38.25" x14ac:dyDescent="0.25">
      <c r="A25" s="62" t="s">
        <v>84</v>
      </c>
      <c r="B25" s="40" t="s">
        <v>99</v>
      </c>
      <c r="C25" s="63"/>
      <c r="D25" s="79">
        <f>' Кол-во ПУ'!E20</f>
        <v>21</v>
      </c>
      <c r="E25" s="42">
        <f>'расч. ср.ст'!D15</f>
        <v>1419.31</v>
      </c>
      <c r="F25" s="80">
        <f t="shared" si="42"/>
        <v>29.805509999999998</v>
      </c>
      <c r="G25" s="81">
        <f t="shared" si="43"/>
        <v>35.766611999999995</v>
      </c>
      <c r="H25" s="82">
        <f>' Кол-во ПУ'!F20</f>
        <v>260</v>
      </c>
      <c r="I25" s="42">
        <f>'расч. ср.ст'!G15</f>
        <v>1479.9195784077187</v>
      </c>
      <c r="J25" s="54">
        <f t="shared" si="44"/>
        <v>384.77909038600689</v>
      </c>
      <c r="K25" s="83">
        <f t="shared" si="45"/>
        <v>461.73490846320823</v>
      </c>
      <c r="L25" s="59">
        <f>' Кол-во ПУ'!G20</f>
        <v>30</v>
      </c>
      <c r="M25" s="42">
        <f>'расч. ср.ст'!J15</f>
        <v>1539.1163615440275</v>
      </c>
      <c r="N25" s="54">
        <f t="shared" si="46"/>
        <v>46.173490846320824</v>
      </c>
      <c r="O25" s="83">
        <f t="shared" si="47"/>
        <v>55.408189015584988</v>
      </c>
      <c r="P25" s="59">
        <f>' Кол-во ПУ'!H20</f>
        <v>50</v>
      </c>
      <c r="Q25" s="42">
        <f>'расч. ср.ст'!M15</f>
        <v>1600.6810160057887</v>
      </c>
      <c r="R25" s="54">
        <f t="shared" si="48"/>
        <v>80.034050800289435</v>
      </c>
      <c r="S25" s="83">
        <f t="shared" si="49"/>
        <v>96.040860960347317</v>
      </c>
      <c r="T25" s="84">
        <f t="shared" si="50"/>
        <v>361</v>
      </c>
      <c r="U25" s="49">
        <f t="shared" si="51"/>
        <v>540.79214203261711</v>
      </c>
      <c r="V25" s="85">
        <f t="shared" si="51"/>
        <v>648.95057043914062</v>
      </c>
      <c r="X25" s="78"/>
    </row>
    <row r="26" spans="1:24" ht="25.5" x14ac:dyDescent="0.25">
      <c r="A26" s="87" t="s">
        <v>100</v>
      </c>
      <c r="B26" s="55" t="s">
        <v>86</v>
      </c>
      <c r="C26" s="89"/>
      <c r="D26" s="90">
        <f>D7+D11+D15+D19</f>
        <v>8311</v>
      </c>
      <c r="E26" s="47"/>
      <c r="F26" s="92">
        <f>F7+F11+F15+F19</f>
        <v>96551.767590000003</v>
      </c>
      <c r="G26" s="104">
        <f>G7+G11+G15+G19</f>
        <v>115862.12110799999</v>
      </c>
      <c r="H26" s="94">
        <f>H18+H19</f>
        <v>38723</v>
      </c>
      <c r="I26" s="47"/>
      <c r="J26" s="52">
        <f>J7+J11+J15+J19</f>
        <v>476645.65134904627</v>
      </c>
      <c r="K26" s="105">
        <f>K7+K11+K15+K19</f>
        <v>571974.78161885554</v>
      </c>
      <c r="L26" s="94">
        <f>L18+L19</f>
        <v>10079.000000000002</v>
      </c>
      <c r="M26" s="47"/>
      <c r="N26" s="52">
        <f>N7+N11+N15+N19</f>
        <v>127067.08051431723</v>
      </c>
      <c r="O26" s="105">
        <f>O7+O11+O15+O19</f>
        <v>152480.4966171807</v>
      </c>
      <c r="P26" s="94">
        <f>P18+P19</f>
        <v>10054.6</v>
      </c>
      <c r="Q26" s="47"/>
      <c r="R26" s="52">
        <f>R7+R11+R15+R19</f>
        <v>132721.87714270898</v>
      </c>
      <c r="S26" s="105">
        <f>S7+S11+S15+S19</f>
        <v>159266.25257125078</v>
      </c>
      <c r="T26" s="94">
        <f>T18+T19</f>
        <v>67167.600000000006</v>
      </c>
      <c r="U26" s="52">
        <f>U18+U19</f>
        <v>832986.37659607246</v>
      </c>
      <c r="V26" s="52">
        <f>V18+V19</f>
        <v>999583.6519152869</v>
      </c>
      <c r="X26" s="78"/>
    </row>
    <row r="27" spans="1:24" x14ac:dyDescent="0.25">
      <c r="A27" s="87" t="s">
        <v>101</v>
      </c>
      <c r="B27" s="55" t="s">
        <v>102</v>
      </c>
      <c r="C27" s="89"/>
      <c r="D27" s="90"/>
      <c r="E27" s="47"/>
      <c r="F27" s="106">
        <f>F22+F26</f>
        <v>100251.77063</v>
      </c>
      <c r="G27" s="107">
        <f>G22+G26</f>
        <v>120302.12475599999</v>
      </c>
      <c r="H27" s="108"/>
      <c r="I27" s="109"/>
      <c r="J27" s="106">
        <f>J22+J26</f>
        <v>487472.68661612313</v>
      </c>
      <c r="K27" s="110">
        <f>K22+K26</f>
        <v>584967.22393934778</v>
      </c>
      <c r="L27" s="108"/>
      <c r="M27" s="109"/>
      <c r="N27" s="106">
        <f>N22+N26</f>
        <v>129847.11028006417</v>
      </c>
      <c r="O27" s="110">
        <f>O22+O26</f>
        <v>155816.53233607701</v>
      </c>
      <c r="P27" s="108"/>
      <c r="Q27" s="109"/>
      <c r="R27" s="106">
        <f>R22+R26</f>
        <v>135677.13533972602</v>
      </c>
      <c r="S27" s="110">
        <f>S22+S26</f>
        <v>162812.56240767124</v>
      </c>
      <c r="T27" s="108"/>
      <c r="U27" s="106">
        <f>U22+U26</f>
        <v>853248.70286591328</v>
      </c>
      <c r="V27" s="110">
        <f>V22+V26</f>
        <v>1023898.4434390959</v>
      </c>
    </row>
    <row r="28" spans="1:24" x14ac:dyDescent="0.25">
      <c r="A28" s="111"/>
      <c r="B28" s="43"/>
      <c r="C28" s="112"/>
      <c r="D28" s="113"/>
      <c r="E28" s="114"/>
      <c r="F28" s="115"/>
      <c r="G28" s="116"/>
      <c r="H28" s="111"/>
      <c r="I28" s="114"/>
      <c r="J28" s="117"/>
      <c r="K28" s="112"/>
      <c r="L28" s="111"/>
      <c r="M28" s="114"/>
      <c r="N28" s="117"/>
      <c r="O28" s="112"/>
      <c r="P28" s="111"/>
      <c r="Q28" s="114"/>
      <c r="R28" s="117"/>
      <c r="S28" s="112"/>
      <c r="T28" s="111"/>
      <c r="U28" s="114"/>
      <c r="V28" s="118"/>
    </row>
    <row r="29" spans="1:24" x14ac:dyDescent="0.25">
      <c r="B29" s="184" t="s">
        <v>103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</row>
    <row r="30" spans="1:24" x14ac:dyDescent="0.25">
      <c r="F30" s="119">
        <f>100252-F27</f>
        <v>0.22937000000092667</v>
      </c>
      <c r="J30" s="119"/>
      <c r="N30" s="119"/>
    </row>
    <row r="31" spans="1:24" ht="15.75" x14ac:dyDescent="0.25">
      <c r="A31" s="178" t="s">
        <v>104</v>
      </c>
      <c r="B31" s="178"/>
      <c r="C31" s="178"/>
      <c r="D31" s="178"/>
      <c r="E31" s="178"/>
      <c r="F31" s="178"/>
      <c r="G31" s="178"/>
      <c r="K31" s="120"/>
    </row>
    <row r="32" spans="1:24" ht="15.75" customHeight="1" x14ac:dyDescent="0.25">
      <c r="A32" s="179" t="s">
        <v>105</v>
      </c>
      <c r="B32" s="180" t="s">
        <v>106</v>
      </c>
      <c r="C32" s="181" t="s">
        <v>107</v>
      </c>
      <c r="D32" s="182"/>
      <c r="E32" s="182"/>
      <c r="F32" s="183"/>
      <c r="G32" s="180" t="s">
        <v>108</v>
      </c>
      <c r="J32" s="120"/>
    </row>
    <row r="33" spans="1:7" ht="15.75" x14ac:dyDescent="0.25">
      <c r="A33" s="179"/>
      <c r="B33" s="180"/>
      <c r="C33" s="121">
        <v>2025</v>
      </c>
      <c r="D33" s="121">
        <v>2026</v>
      </c>
      <c r="E33" s="121">
        <v>2027</v>
      </c>
      <c r="F33" s="121">
        <v>2028</v>
      </c>
      <c r="G33" s="180"/>
    </row>
    <row r="34" spans="1:7" ht="15.75" x14ac:dyDescent="0.25">
      <c r="A34" s="122">
        <v>1</v>
      </c>
      <c r="B34" s="177" t="s">
        <v>109</v>
      </c>
      <c r="C34" s="177"/>
      <c r="D34" s="177"/>
      <c r="E34" s="177"/>
      <c r="F34" s="177"/>
    </row>
    <row r="35" spans="1:7" ht="15.75" x14ac:dyDescent="0.25">
      <c r="A35" s="123" t="s">
        <v>31</v>
      </c>
      <c r="B35" s="124" t="s">
        <v>110</v>
      </c>
      <c r="C35" s="54">
        <f>F27</f>
        <v>100251.77063</v>
      </c>
      <c r="D35" s="54">
        <f>J27</f>
        <v>487472.68661612313</v>
      </c>
      <c r="E35" s="54">
        <f>N27</f>
        <v>129847.11028006417</v>
      </c>
      <c r="F35" s="54">
        <f>R27</f>
        <v>135677.13533972602</v>
      </c>
      <c r="G35" s="125">
        <f>SUM(C35:F35)</f>
        <v>853248.70286591328</v>
      </c>
    </row>
    <row r="36" spans="1:7" ht="15.75" x14ac:dyDescent="0.25">
      <c r="A36" s="126"/>
      <c r="B36" s="127" t="s">
        <v>108</v>
      </c>
      <c r="C36" s="128">
        <f>C35</f>
        <v>100251.77063</v>
      </c>
      <c r="D36" s="128">
        <f>D35</f>
        <v>487472.68661612313</v>
      </c>
      <c r="E36" s="128">
        <f>E35</f>
        <v>129847.11028006417</v>
      </c>
      <c r="F36" s="128">
        <f>F35</f>
        <v>135677.13533972602</v>
      </c>
      <c r="G36" s="128">
        <f>G35</f>
        <v>853248.70286591328</v>
      </c>
    </row>
    <row r="38" spans="1:7" ht="15.75" x14ac:dyDescent="0.25">
      <c r="A38" s="178" t="s">
        <v>111</v>
      </c>
      <c r="B38" s="178"/>
      <c r="C38" s="178"/>
      <c r="D38" s="178"/>
      <c r="E38" s="178"/>
      <c r="F38" s="178"/>
      <c r="G38" s="178"/>
    </row>
    <row r="39" spans="1:7" ht="15.75" customHeight="1" x14ac:dyDescent="0.25">
      <c r="A39" s="179" t="s">
        <v>105</v>
      </c>
      <c r="B39" s="180" t="s">
        <v>106</v>
      </c>
      <c r="C39" s="181" t="s">
        <v>107</v>
      </c>
      <c r="D39" s="182"/>
      <c r="E39" s="182"/>
      <c r="F39" s="183"/>
      <c r="G39" s="180" t="s">
        <v>108</v>
      </c>
    </row>
    <row r="40" spans="1:7" ht="15.75" x14ac:dyDescent="0.25">
      <c r="A40" s="179"/>
      <c r="B40" s="180"/>
      <c r="C40" s="121">
        <v>2025</v>
      </c>
      <c r="D40" s="121">
        <v>2026</v>
      </c>
      <c r="E40" s="121">
        <v>2027</v>
      </c>
      <c r="F40" s="121">
        <v>2028</v>
      </c>
      <c r="G40" s="180"/>
    </row>
    <row r="41" spans="1:7" ht="15.75" x14ac:dyDescent="0.25">
      <c r="A41" s="122">
        <v>1</v>
      </c>
      <c r="B41" s="177" t="s">
        <v>109</v>
      </c>
      <c r="C41" s="177"/>
      <c r="D41" s="177"/>
      <c r="E41" s="177"/>
      <c r="F41" s="177"/>
    </row>
    <row r="42" spans="1:7" ht="15.75" x14ac:dyDescent="0.25">
      <c r="A42" s="123" t="s">
        <v>31</v>
      </c>
      <c r="B42" s="124" t="s">
        <v>110</v>
      </c>
      <c r="C42" s="54">
        <f>G27</f>
        <v>120302.12475599999</v>
      </c>
      <c r="D42" s="54">
        <f>K27</f>
        <v>584967.22393934778</v>
      </c>
      <c r="E42" s="54">
        <f>O27</f>
        <v>155816.53233607701</v>
      </c>
      <c r="F42" s="54">
        <f>S27</f>
        <v>162812.56240767124</v>
      </c>
      <c r="G42" s="125">
        <f>SUM(C42:F42)</f>
        <v>1023898.443439096</v>
      </c>
    </row>
    <row r="43" spans="1:7" ht="15.75" x14ac:dyDescent="0.25">
      <c r="A43" s="126"/>
      <c r="B43" s="127" t="s">
        <v>108</v>
      </c>
      <c r="C43" s="128">
        <f>C42</f>
        <v>120302.12475599999</v>
      </c>
      <c r="D43" s="128">
        <f>D42</f>
        <v>584967.22393934778</v>
      </c>
      <c r="E43" s="128">
        <f>E42</f>
        <v>155816.53233607701</v>
      </c>
      <c r="F43" s="128">
        <f>F42</f>
        <v>162812.56240767124</v>
      </c>
      <c r="G43" s="128">
        <f>G42</f>
        <v>1023898.443439096</v>
      </c>
    </row>
  </sheetData>
  <mergeCells count="32">
    <mergeCell ref="A1:G1"/>
    <mergeCell ref="A4:A6"/>
    <mergeCell ref="B4:B6"/>
    <mergeCell ref="C4:C6"/>
    <mergeCell ref="D4:G4"/>
    <mergeCell ref="H4:K4"/>
    <mergeCell ref="L4:O4"/>
    <mergeCell ref="P4:S4"/>
    <mergeCell ref="T4:V4"/>
    <mergeCell ref="D5:D6"/>
    <mergeCell ref="F5:G5"/>
    <mergeCell ref="H5:H6"/>
    <mergeCell ref="J5:K5"/>
    <mergeCell ref="L5:L6"/>
    <mergeCell ref="N5:O5"/>
    <mergeCell ref="P5:P6"/>
    <mergeCell ref="R5:S5"/>
    <mergeCell ref="T5:T6"/>
    <mergeCell ref="U5:V5"/>
    <mergeCell ref="B29:V29"/>
    <mergeCell ref="A31:G31"/>
    <mergeCell ref="A32:A33"/>
    <mergeCell ref="B32:B33"/>
    <mergeCell ref="C32:F32"/>
    <mergeCell ref="G32:G33"/>
    <mergeCell ref="B41:F41"/>
    <mergeCell ref="B34:F34"/>
    <mergeCell ref="A38:G38"/>
    <mergeCell ref="A39:A40"/>
    <mergeCell ref="B39:B40"/>
    <mergeCell ref="C39:F39"/>
    <mergeCell ref="G39:G40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pane ySplit="2" topLeftCell="A15" activePane="bottomLeft" state="frozen"/>
      <selection activeCell="B19" sqref="B19"/>
      <selection pane="bottomLeft" activeCell="N16" sqref="N16"/>
    </sheetView>
  </sheetViews>
  <sheetFormatPr defaultRowHeight="15" x14ac:dyDescent="0.25"/>
  <cols>
    <col min="2" max="2" width="33.42578125" customWidth="1"/>
    <col min="3" max="3" width="5.85546875" customWidth="1"/>
    <col min="4" max="4" width="8" customWidth="1"/>
    <col min="5" max="5" width="10.85546875" customWidth="1"/>
    <col min="6" max="6" width="11.7109375" customWidth="1"/>
    <col min="7" max="7" width="10.85546875" customWidth="1"/>
    <col min="8" max="10" width="10.5703125" customWidth="1"/>
    <col min="11" max="19" width="10.140625" customWidth="1"/>
  </cols>
  <sheetData>
    <row r="1" spans="1:19" ht="33.75" x14ac:dyDescent="0.25">
      <c r="A1" s="196" t="s">
        <v>19</v>
      </c>
      <c r="B1" s="199" t="s">
        <v>20</v>
      </c>
      <c r="C1" s="210" t="s">
        <v>112</v>
      </c>
      <c r="D1" s="210" t="s">
        <v>113</v>
      </c>
      <c r="E1" s="130" t="s">
        <v>91</v>
      </c>
      <c r="F1" s="207" t="s">
        <v>114</v>
      </c>
      <c r="G1" s="209"/>
      <c r="H1" s="207" t="s">
        <v>115</v>
      </c>
      <c r="I1" s="208"/>
      <c r="J1" s="209"/>
      <c r="K1" s="207" t="s">
        <v>116</v>
      </c>
      <c r="L1" s="208"/>
      <c r="M1" s="209"/>
      <c r="N1" s="207" t="s">
        <v>117</v>
      </c>
      <c r="O1" s="208"/>
      <c r="P1" s="209"/>
      <c r="Q1" s="207" t="s">
        <v>118</v>
      </c>
      <c r="R1" s="208"/>
      <c r="S1" s="209"/>
    </row>
    <row r="2" spans="1:19" ht="22.5" x14ac:dyDescent="0.25">
      <c r="A2" s="197"/>
      <c r="B2" s="200"/>
      <c r="C2" s="210"/>
      <c r="D2" s="210"/>
      <c r="E2" s="129" t="s">
        <v>92</v>
      </c>
      <c r="F2" s="129" t="s">
        <v>93</v>
      </c>
      <c r="G2" s="129" t="s">
        <v>94</v>
      </c>
      <c r="H2" s="129" t="s">
        <v>65</v>
      </c>
      <c r="I2" s="129" t="s">
        <v>93</v>
      </c>
      <c r="J2" s="129" t="s">
        <v>94</v>
      </c>
      <c r="K2" s="129" t="s">
        <v>65</v>
      </c>
      <c r="L2" s="129" t="s">
        <v>93</v>
      </c>
      <c r="M2" s="129" t="s">
        <v>94</v>
      </c>
      <c r="N2" s="129" t="s">
        <v>65</v>
      </c>
      <c r="O2" s="129" t="s">
        <v>93</v>
      </c>
      <c r="P2" s="129" t="s">
        <v>94</v>
      </c>
      <c r="Q2" s="129" t="s">
        <v>65</v>
      </c>
      <c r="R2" s="129" t="s">
        <v>93</v>
      </c>
      <c r="S2" s="129" t="s">
        <v>94</v>
      </c>
    </row>
    <row r="3" spans="1:19" x14ac:dyDescent="0.25">
      <c r="A3" s="131">
        <v>1</v>
      </c>
      <c r="B3" s="132" t="s">
        <v>95</v>
      </c>
      <c r="C3" s="133" t="s">
        <v>65</v>
      </c>
      <c r="D3" s="134">
        <f t="shared" ref="D3:D9" si="0">H3+K3+N3+Q3</f>
        <v>7792</v>
      </c>
      <c r="E3" s="135"/>
      <c r="F3" s="136">
        <f>SUM(F4:F6)</f>
        <v>78610.075960000002</v>
      </c>
      <c r="G3" s="134">
        <f t="shared" ref="G3:G9" si="1">F3*1.2</f>
        <v>94332.091151999994</v>
      </c>
      <c r="H3" s="134">
        <f>SUM(H4:H6)</f>
        <v>3991</v>
      </c>
      <c r="I3" s="137">
        <f>SUM(I4:I6)</f>
        <v>40181.880699999994</v>
      </c>
      <c r="J3" s="134">
        <f t="shared" ref="J3:J9" si="2">I3*1.2</f>
        <v>48218.256839999995</v>
      </c>
      <c r="K3" s="134">
        <f>SUM(K4:K6)</f>
        <v>2784</v>
      </c>
      <c r="L3" s="137">
        <f>SUM(L4:L6)</f>
        <v>28203.831839999999</v>
      </c>
      <c r="M3" s="134">
        <f t="shared" ref="M3:M9" si="3">L3*1.2</f>
        <v>33844.598207999996</v>
      </c>
      <c r="N3" s="134">
        <f>SUM(N4:N6)</f>
        <v>764</v>
      </c>
      <c r="O3" s="137">
        <f>SUM(O4:O6)</f>
        <v>7658.3266400000002</v>
      </c>
      <c r="P3" s="134">
        <f t="shared" ref="P3:P9" si="4">O3*1.2</f>
        <v>9189.9919680000003</v>
      </c>
      <c r="Q3" s="134">
        <f>SUM(Q4:Q6)</f>
        <v>253</v>
      </c>
      <c r="R3" s="137">
        <f>SUM(R4:R6)</f>
        <v>2566.0367799999999</v>
      </c>
      <c r="S3" s="134">
        <f t="shared" ref="S3:S9" si="5">R3*1.2</f>
        <v>3079.2441359999998</v>
      </c>
    </row>
    <row r="4" spans="1:19" ht="51" x14ac:dyDescent="0.25">
      <c r="A4" s="138" t="s">
        <v>31</v>
      </c>
      <c r="B4" s="139" t="s">
        <v>64</v>
      </c>
      <c r="C4" s="133" t="s">
        <v>65</v>
      </c>
      <c r="D4" s="134">
        <f t="shared" si="0"/>
        <v>6398</v>
      </c>
      <c r="E4" s="135">
        <f>'итого 25-28'!E8</f>
        <v>10187.26</v>
      </c>
      <c r="F4" s="136">
        <f t="shared" ref="F4:F6" si="6">E4*D4/1000</f>
        <v>65178.089480000002</v>
      </c>
      <c r="G4" s="134">
        <f t="shared" si="1"/>
        <v>78213.707376000006</v>
      </c>
      <c r="H4" s="134">
        <v>3063</v>
      </c>
      <c r="I4" s="137">
        <f t="shared" ref="I4:I6" si="7">H4*$E4/1000</f>
        <v>31203.577379999999</v>
      </c>
      <c r="J4" s="134">
        <f t="shared" si="2"/>
        <v>37444.292856</v>
      </c>
      <c r="K4" s="134">
        <v>2534</v>
      </c>
      <c r="L4" s="137">
        <f t="shared" ref="L4:L6" si="8">K4*$E4/1000</f>
        <v>25814.51684</v>
      </c>
      <c r="M4" s="134">
        <f t="shared" si="3"/>
        <v>30977.420208</v>
      </c>
      <c r="N4" s="134">
        <v>566</v>
      </c>
      <c r="O4" s="137">
        <f t="shared" ref="O4:O6" si="9">N4*$E4/1000</f>
        <v>5765.9891600000001</v>
      </c>
      <c r="P4" s="134">
        <f t="shared" si="4"/>
        <v>6919.1869919999999</v>
      </c>
      <c r="Q4" s="134">
        <v>235</v>
      </c>
      <c r="R4" s="137">
        <f t="shared" ref="R4:R6" si="10">Q4*$E4/1000</f>
        <v>2394.0061000000001</v>
      </c>
      <c r="S4" s="134">
        <f t="shared" si="5"/>
        <v>2872.8073199999999</v>
      </c>
    </row>
    <row r="5" spans="1:19" ht="38.25" x14ac:dyDescent="0.25">
      <c r="A5" s="138" t="s">
        <v>33</v>
      </c>
      <c r="B5" s="139" t="s">
        <v>66</v>
      </c>
      <c r="C5" s="133" t="s">
        <v>65</v>
      </c>
      <c r="D5" s="134">
        <f t="shared" si="0"/>
        <v>1382</v>
      </c>
      <c r="E5" s="135">
        <f>'итого 25-28'!E9</f>
        <v>9557.26</v>
      </c>
      <c r="F5" s="136">
        <f t="shared" si="6"/>
        <v>13208.133320000001</v>
      </c>
      <c r="G5" s="134">
        <f t="shared" si="1"/>
        <v>15849.759984</v>
      </c>
      <c r="H5" s="134">
        <v>916</v>
      </c>
      <c r="I5" s="137">
        <f t="shared" si="7"/>
        <v>8754.4501600000003</v>
      </c>
      <c r="J5" s="134">
        <f t="shared" si="2"/>
        <v>10505.340192</v>
      </c>
      <c r="K5" s="134">
        <v>250</v>
      </c>
      <c r="L5" s="137">
        <f t="shared" si="8"/>
        <v>2389.3150000000001</v>
      </c>
      <c r="M5" s="134">
        <f t="shared" si="3"/>
        <v>2867.1779999999999</v>
      </c>
      <c r="N5" s="134">
        <v>198</v>
      </c>
      <c r="O5" s="137">
        <f t="shared" si="9"/>
        <v>1892.3374799999999</v>
      </c>
      <c r="P5" s="134">
        <f t="shared" si="4"/>
        <v>2270.8049759999999</v>
      </c>
      <c r="Q5" s="134">
        <v>18</v>
      </c>
      <c r="R5" s="137">
        <f t="shared" si="10"/>
        <v>172.03067999999999</v>
      </c>
      <c r="S5" s="134">
        <f t="shared" si="5"/>
        <v>206.43681599999999</v>
      </c>
    </row>
    <row r="6" spans="1:19" ht="25.5" x14ac:dyDescent="0.25">
      <c r="A6" s="138" t="s">
        <v>35</v>
      </c>
      <c r="B6" s="139" t="s">
        <v>67</v>
      </c>
      <c r="C6" s="133" t="s">
        <v>65</v>
      </c>
      <c r="D6" s="134">
        <f t="shared" si="0"/>
        <v>12</v>
      </c>
      <c r="E6" s="135">
        <f>'итого 25-28'!E10</f>
        <v>18654.43</v>
      </c>
      <c r="F6" s="136">
        <f t="shared" si="6"/>
        <v>223.85316</v>
      </c>
      <c r="G6" s="134">
        <f t="shared" si="1"/>
        <v>268.62379199999998</v>
      </c>
      <c r="H6" s="134">
        <v>12</v>
      </c>
      <c r="I6" s="137">
        <f t="shared" si="7"/>
        <v>223.85316</v>
      </c>
      <c r="J6" s="134">
        <f t="shared" si="2"/>
        <v>268.62379199999998</v>
      </c>
      <c r="K6" s="134">
        <v>0</v>
      </c>
      <c r="L6" s="137">
        <f t="shared" si="8"/>
        <v>0</v>
      </c>
      <c r="M6" s="134">
        <f t="shared" si="3"/>
        <v>0</v>
      </c>
      <c r="N6" s="134">
        <v>0</v>
      </c>
      <c r="O6" s="137">
        <f t="shared" si="9"/>
        <v>0</v>
      </c>
      <c r="P6" s="134">
        <f t="shared" si="4"/>
        <v>0</v>
      </c>
      <c r="Q6" s="134">
        <v>0</v>
      </c>
      <c r="R6" s="137">
        <f t="shared" si="10"/>
        <v>0</v>
      </c>
      <c r="S6" s="134">
        <f t="shared" si="5"/>
        <v>0</v>
      </c>
    </row>
    <row r="7" spans="1:19" x14ac:dyDescent="0.25">
      <c r="A7" s="131" t="s">
        <v>68</v>
      </c>
      <c r="B7" s="140" t="s">
        <v>69</v>
      </c>
      <c r="C7" s="141" t="s">
        <v>65</v>
      </c>
      <c r="D7" s="134">
        <f t="shared" si="0"/>
        <v>28</v>
      </c>
      <c r="E7" s="135"/>
      <c r="F7" s="136">
        <f>SUM(F8:F10)</f>
        <v>594.70030999999994</v>
      </c>
      <c r="G7" s="134">
        <f t="shared" si="1"/>
        <v>713.64037199999996</v>
      </c>
      <c r="H7" s="134">
        <f>SUM(H8:H10)</f>
        <v>4</v>
      </c>
      <c r="I7" s="137">
        <f>SUM(I8:I10)</f>
        <v>77.486630000000005</v>
      </c>
      <c r="J7" s="134">
        <f t="shared" si="2"/>
        <v>92.983956000000006</v>
      </c>
      <c r="K7" s="134">
        <f>SUM(K8:K10)</f>
        <v>12</v>
      </c>
      <c r="L7" s="137">
        <f>SUM(L8:L10)</f>
        <v>258.60683999999998</v>
      </c>
      <c r="M7" s="134">
        <f t="shared" si="3"/>
        <v>310.32820799999996</v>
      </c>
      <c r="N7" s="134">
        <f>SUM(N8:N10)</f>
        <v>9</v>
      </c>
      <c r="O7" s="137">
        <f>SUM(O8:O10)</f>
        <v>193.95513</v>
      </c>
      <c r="P7" s="134">
        <f t="shared" si="4"/>
        <v>232.74615599999998</v>
      </c>
      <c r="Q7" s="134">
        <f>SUM(Q8:Q10)</f>
        <v>3</v>
      </c>
      <c r="R7" s="137">
        <f>SUM(R8:R10)</f>
        <v>64.651709999999994</v>
      </c>
      <c r="S7" s="134">
        <f t="shared" si="5"/>
        <v>77.58205199999999</v>
      </c>
    </row>
    <row r="8" spans="1:19" ht="38.25" x14ac:dyDescent="0.25">
      <c r="A8" s="138" t="s">
        <v>70</v>
      </c>
      <c r="B8" s="139" t="s">
        <v>96</v>
      </c>
      <c r="C8" s="133" t="s">
        <v>65</v>
      </c>
      <c r="D8" s="134">
        <f t="shared" si="0"/>
        <v>25</v>
      </c>
      <c r="E8" s="135">
        <f>'итого 25-28'!E12</f>
        <v>21550.57</v>
      </c>
      <c r="F8" s="136">
        <f t="shared" ref="F8:F9" si="11">E8*D8/1000</f>
        <v>538.76424999999995</v>
      </c>
      <c r="G8" s="134">
        <f t="shared" si="1"/>
        <v>646.51709999999991</v>
      </c>
      <c r="H8" s="134">
        <v>1</v>
      </c>
      <c r="I8" s="137">
        <f t="shared" ref="I8:I9" si="12">H8*$E8/1000</f>
        <v>21.55057</v>
      </c>
      <c r="J8" s="134">
        <f t="shared" si="2"/>
        <v>25.860683999999999</v>
      </c>
      <c r="K8" s="134">
        <v>12</v>
      </c>
      <c r="L8" s="137">
        <f t="shared" ref="L8:L9" si="13">K8*$E8/1000</f>
        <v>258.60683999999998</v>
      </c>
      <c r="M8" s="134">
        <f t="shared" si="3"/>
        <v>310.32820799999996</v>
      </c>
      <c r="N8" s="134">
        <v>9</v>
      </c>
      <c r="O8" s="137">
        <f t="shared" ref="O8:O9" si="14">N8*$E8/1000</f>
        <v>193.95513</v>
      </c>
      <c r="P8" s="134">
        <f t="shared" si="4"/>
        <v>232.74615599999998</v>
      </c>
      <c r="Q8" s="134">
        <v>3</v>
      </c>
      <c r="R8" s="137">
        <f t="shared" ref="R8:R9" si="15">Q8*$E8/1000</f>
        <v>64.651709999999994</v>
      </c>
      <c r="S8" s="134">
        <f t="shared" si="5"/>
        <v>77.58205199999999</v>
      </c>
    </row>
    <row r="9" spans="1:19" ht="51" x14ac:dyDescent="0.25">
      <c r="A9" s="142" t="s">
        <v>72</v>
      </c>
      <c r="B9" s="139" t="s">
        <v>97</v>
      </c>
      <c r="C9" s="133" t="s">
        <v>65</v>
      </c>
      <c r="D9" s="134">
        <f t="shared" si="0"/>
        <v>1</v>
      </c>
      <c r="E9" s="135">
        <f>'итого 25-28'!E13</f>
        <v>36145.68</v>
      </c>
      <c r="F9" s="136">
        <f t="shared" si="11"/>
        <v>36.145679999999999</v>
      </c>
      <c r="G9" s="134">
        <f t="shared" si="1"/>
        <v>43.374815999999996</v>
      </c>
      <c r="H9" s="134">
        <v>1</v>
      </c>
      <c r="I9" s="137">
        <f t="shared" si="12"/>
        <v>36.145679999999999</v>
      </c>
      <c r="J9" s="134">
        <f t="shared" si="2"/>
        <v>43.374815999999996</v>
      </c>
      <c r="K9" s="134">
        <v>0</v>
      </c>
      <c r="L9" s="137">
        <f t="shared" si="13"/>
        <v>0</v>
      </c>
      <c r="M9" s="134">
        <f t="shared" si="3"/>
        <v>0</v>
      </c>
      <c r="N9" s="134">
        <v>0</v>
      </c>
      <c r="O9" s="137">
        <f t="shared" si="14"/>
        <v>0</v>
      </c>
      <c r="P9" s="134">
        <f t="shared" si="4"/>
        <v>0</v>
      </c>
      <c r="Q9" s="134">
        <v>0</v>
      </c>
      <c r="R9" s="137">
        <f t="shared" si="15"/>
        <v>0</v>
      </c>
      <c r="S9" s="134">
        <f t="shared" si="5"/>
        <v>0</v>
      </c>
    </row>
    <row r="10" spans="1:19" ht="25.5" x14ac:dyDescent="0.25">
      <c r="A10" s="142" t="s">
        <v>74</v>
      </c>
      <c r="B10" s="139" t="s">
        <v>75</v>
      </c>
      <c r="C10" s="141" t="s">
        <v>65</v>
      </c>
      <c r="D10" s="134">
        <f t="shared" ref="D10:D22" si="16">H10+K10+N10+Q10</f>
        <v>2</v>
      </c>
      <c r="E10" s="135">
        <f>'итого 25-28'!E14</f>
        <v>9895.19</v>
      </c>
      <c r="F10" s="136">
        <f>E10*D10/1000</f>
        <v>19.790380000000003</v>
      </c>
      <c r="G10" s="134">
        <f t="shared" ref="G10:G24" si="17">F10*1.2</f>
        <v>23.748456000000001</v>
      </c>
      <c r="H10" s="134">
        <v>2</v>
      </c>
      <c r="I10" s="137">
        <f>H10*$E10/1000</f>
        <v>19.790380000000003</v>
      </c>
      <c r="J10" s="134">
        <f t="shared" ref="J10:J24" si="18">I10*1.2</f>
        <v>23.748456000000001</v>
      </c>
      <c r="K10" s="134">
        <v>0</v>
      </c>
      <c r="L10" s="137">
        <f>K10*$E10/1000</f>
        <v>0</v>
      </c>
      <c r="M10" s="134">
        <f t="shared" ref="M10:M24" si="19">L10*1.2</f>
        <v>0</v>
      </c>
      <c r="N10" s="134">
        <v>0</v>
      </c>
      <c r="O10" s="137">
        <f>N10*$E10/1000</f>
        <v>0</v>
      </c>
      <c r="P10" s="134">
        <f t="shared" ref="P10:P24" si="20">O10*1.2</f>
        <v>0</v>
      </c>
      <c r="Q10" s="134">
        <v>0</v>
      </c>
      <c r="R10" s="137">
        <f>Q10*$E10/1000</f>
        <v>0</v>
      </c>
      <c r="S10" s="134">
        <f t="shared" ref="S10:S24" si="21">R10*1.2</f>
        <v>0</v>
      </c>
    </row>
    <row r="11" spans="1:19" x14ac:dyDescent="0.25">
      <c r="A11" s="131">
        <v>3</v>
      </c>
      <c r="B11" s="143" t="s">
        <v>76</v>
      </c>
      <c r="C11" s="141" t="s">
        <v>65</v>
      </c>
      <c r="D11" s="134">
        <f t="shared" si="16"/>
        <v>103</v>
      </c>
      <c r="E11" s="135"/>
      <c r="F11" s="136">
        <f>SUM(F12:F13)</f>
        <v>3132.2943800000003</v>
      </c>
      <c r="G11" s="134">
        <f t="shared" si="17"/>
        <v>3758.753256</v>
      </c>
      <c r="H11" s="134">
        <f>SUM(H12:H13)</f>
        <v>5</v>
      </c>
      <c r="I11" s="137">
        <f>SUM(I12:I13)</f>
        <v>188.18665000000001</v>
      </c>
      <c r="J11" s="134">
        <f t="shared" si="18"/>
        <v>225.82398000000001</v>
      </c>
      <c r="K11" s="134">
        <f>SUM(K12:K13)</f>
        <v>50</v>
      </c>
      <c r="L11" s="137">
        <f>SUM(L12:L13)</f>
        <v>1502.39364</v>
      </c>
      <c r="M11" s="134">
        <f t="shared" si="19"/>
        <v>1802.8723680000001</v>
      </c>
      <c r="N11" s="134">
        <f>SUM(N12:N13)</f>
        <v>37</v>
      </c>
      <c r="O11" s="137">
        <f>SUM(O12:O13)</f>
        <v>1115.27412</v>
      </c>
      <c r="P11" s="134">
        <f t="shared" si="20"/>
        <v>1338.3289440000001</v>
      </c>
      <c r="Q11" s="134">
        <f>SUM(Q12:Q13)</f>
        <v>11</v>
      </c>
      <c r="R11" s="137">
        <f>SUM(R12:R13)</f>
        <v>326.43997000000002</v>
      </c>
      <c r="S11" s="134">
        <f t="shared" si="21"/>
        <v>391.72796399999999</v>
      </c>
    </row>
    <row r="12" spans="1:19" ht="76.5" x14ac:dyDescent="0.25">
      <c r="A12" s="138" t="s">
        <v>39</v>
      </c>
      <c r="B12" s="144" t="s">
        <v>77</v>
      </c>
      <c r="C12" s="141" t="s">
        <v>65</v>
      </c>
      <c r="D12" s="134">
        <f t="shared" si="16"/>
        <v>51</v>
      </c>
      <c r="E12" s="135">
        <f>'итого 25-28'!E16</f>
        <v>23042.22</v>
      </c>
      <c r="F12" s="136">
        <f t="shared" ref="F12:F13" si="22">E12*D12/1000</f>
        <v>1175.1532199999999</v>
      </c>
      <c r="G12" s="134">
        <f t="shared" si="17"/>
        <v>1410.1838639999999</v>
      </c>
      <c r="H12" s="134">
        <v>0</v>
      </c>
      <c r="I12" s="137">
        <f t="shared" ref="I12:I13" si="23">H12*$E12/1000</f>
        <v>0</v>
      </c>
      <c r="J12" s="134">
        <f t="shared" si="18"/>
        <v>0</v>
      </c>
      <c r="K12" s="134">
        <v>26</v>
      </c>
      <c r="L12" s="137">
        <f t="shared" ref="L12:L13" si="24">K12*$E12/1000</f>
        <v>599.09771999999998</v>
      </c>
      <c r="M12" s="134">
        <f t="shared" si="19"/>
        <v>718.91726399999993</v>
      </c>
      <c r="N12" s="134">
        <v>19</v>
      </c>
      <c r="O12" s="137">
        <f t="shared" ref="O12:O13" si="25">N12*$E12/1000</f>
        <v>437.80218000000008</v>
      </c>
      <c r="P12" s="134">
        <f t="shared" si="20"/>
        <v>525.36261600000012</v>
      </c>
      <c r="Q12" s="134">
        <v>6</v>
      </c>
      <c r="R12" s="137">
        <f t="shared" ref="R12:R13" si="26">Q12*$E12/1000</f>
        <v>138.25332</v>
      </c>
      <c r="S12" s="134">
        <f t="shared" si="21"/>
        <v>165.90398400000001</v>
      </c>
    </row>
    <row r="13" spans="1:19" ht="89.25" x14ac:dyDescent="0.25">
      <c r="A13" s="138" t="s">
        <v>41</v>
      </c>
      <c r="B13" s="144" t="s">
        <v>78</v>
      </c>
      <c r="C13" s="141" t="s">
        <v>65</v>
      </c>
      <c r="D13" s="134">
        <f t="shared" si="16"/>
        <v>52</v>
      </c>
      <c r="E13" s="135">
        <f>'итого 25-28'!E17</f>
        <v>37637.33</v>
      </c>
      <c r="F13" s="136">
        <f t="shared" si="22"/>
        <v>1957.1411600000001</v>
      </c>
      <c r="G13" s="134">
        <f t="shared" si="17"/>
        <v>2348.5693919999999</v>
      </c>
      <c r="H13" s="134">
        <v>5</v>
      </c>
      <c r="I13" s="137">
        <f t="shared" si="23"/>
        <v>188.18665000000001</v>
      </c>
      <c r="J13" s="134">
        <f t="shared" si="18"/>
        <v>225.82398000000001</v>
      </c>
      <c r="K13" s="134">
        <v>24</v>
      </c>
      <c r="L13" s="137">
        <f t="shared" si="24"/>
        <v>903.29592000000002</v>
      </c>
      <c r="M13" s="134">
        <f t="shared" si="19"/>
        <v>1083.9551039999999</v>
      </c>
      <c r="N13" s="134">
        <v>18</v>
      </c>
      <c r="O13" s="137">
        <f t="shared" si="25"/>
        <v>677.47194000000002</v>
      </c>
      <c r="P13" s="134">
        <f t="shared" si="20"/>
        <v>812.96632799999998</v>
      </c>
      <c r="Q13" s="134">
        <v>5</v>
      </c>
      <c r="R13" s="137">
        <f t="shared" si="26"/>
        <v>188.18665000000001</v>
      </c>
      <c r="S13" s="134">
        <f t="shared" si="21"/>
        <v>225.82398000000001</v>
      </c>
    </row>
    <row r="14" spans="1:19" x14ac:dyDescent="0.25">
      <c r="A14" s="131"/>
      <c r="B14" s="143" t="s">
        <v>62</v>
      </c>
      <c r="C14" s="141" t="s">
        <v>65</v>
      </c>
      <c r="D14" s="134">
        <f t="shared" si="16"/>
        <v>7923</v>
      </c>
      <c r="E14" s="135"/>
      <c r="F14" s="136">
        <f>F11+F7+F3</f>
        <v>82337.070650000009</v>
      </c>
      <c r="G14" s="134">
        <f t="shared" si="17"/>
        <v>98804.484780000013</v>
      </c>
      <c r="H14" s="134">
        <f>H11+H7+H3</f>
        <v>4000</v>
      </c>
      <c r="I14" s="137">
        <f>I11+I7+I3</f>
        <v>40447.553979999997</v>
      </c>
      <c r="J14" s="134">
        <f t="shared" si="18"/>
        <v>48537.064775999992</v>
      </c>
      <c r="K14" s="134">
        <f>K11+K7+K3</f>
        <v>2846</v>
      </c>
      <c r="L14" s="137">
        <f>L11+L7+L3</f>
        <v>29964.832319999998</v>
      </c>
      <c r="M14" s="134">
        <f t="shared" si="19"/>
        <v>35957.798783999999</v>
      </c>
      <c r="N14" s="134">
        <f>N11+N7+N3</f>
        <v>810</v>
      </c>
      <c r="O14" s="137">
        <f>O11+O7+O3</f>
        <v>8967.5558899999996</v>
      </c>
      <c r="P14" s="134">
        <f t="shared" si="20"/>
        <v>10761.067067999998</v>
      </c>
      <c r="Q14" s="134">
        <f>Q11+Q7+Q3</f>
        <v>267</v>
      </c>
      <c r="R14" s="137">
        <f>R11+R7+R3</f>
        <v>2957.1284599999999</v>
      </c>
      <c r="S14" s="134">
        <f t="shared" si="21"/>
        <v>3548.5541519999997</v>
      </c>
    </row>
    <row r="15" spans="1:19" x14ac:dyDescent="0.25">
      <c r="A15" s="131">
        <v>4</v>
      </c>
      <c r="B15" s="143" t="s">
        <v>79</v>
      </c>
      <c r="C15" s="141" t="s">
        <v>65</v>
      </c>
      <c r="D15" s="134">
        <f t="shared" si="16"/>
        <v>388</v>
      </c>
      <c r="E15" s="135"/>
      <c r="F15" s="136">
        <f t="shared" ref="F15:F21" si="27">I15+L15+O15+R15</f>
        <v>14214.696940000002</v>
      </c>
      <c r="G15" s="134">
        <f t="shared" si="17"/>
        <v>17057.636328000001</v>
      </c>
      <c r="H15" s="134">
        <f>SUM(H16:H17)</f>
        <v>0</v>
      </c>
      <c r="I15" s="137">
        <f>SUM(I16:I17)</f>
        <v>0</v>
      </c>
      <c r="J15" s="134">
        <f t="shared" si="18"/>
        <v>0</v>
      </c>
      <c r="K15" s="134">
        <f>SUM(K16:K17)</f>
        <v>233</v>
      </c>
      <c r="L15" s="137">
        <f>SUM(L16:L17)</f>
        <v>8532.6593900000007</v>
      </c>
      <c r="M15" s="134">
        <f t="shared" si="19"/>
        <v>10239.191268</v>
      </c>
      <c r="N15" s="134">
        <f>SUM(N16:N17)</f>
        <v>116</v>
      </c>
      <c r="O15" s="137">
        <f>SUM(O16:O17)</f>
        <v>4256.7266300000001</v>
      </c>
      <c r="P15" s="134">
        <f t="shared" si="20"/>
        <v>5108.0719559999998</v>
      </c>
      <c r="Q15" s="134">
        <f>SUM(Q16:Q17)</f>
        <v>39</v>
      </c>
      <c r="R15" s="137">
        <f>SUM(R16:R17)</f>
        <v>1425.3109199999999</v>
      </c>
      <c r="S15" s="134">
        <f t="shared" si="21"/>
        <v>1710.3731039999998</v>
      </c>
    </row>
    <row r="16" spans="1:19" ht="25.5" x14ac:dyDescent="0.25">
      <c r="A16" s="138" t="s">
        <v>47</v>
      </c>
      <c r="B16" s="144" t="s">
        <v>80</v>
      </c>
      <c r="C16" s="141" t="s">
        <v>65</v>
      </c>
      <c r="D16" s="134">
        <f t="shared" si="16"/>
        <v>150</v>
      </c>
      <c r="E16" s="135">
        <f>'итого 25-28'!E20</f>
        <v>64290.92</v>
      </c>
      <c r="F16" s="136">
        <f t="shared" si="27"/>
        <v>9643.637999999999</v>
      </c>
      <c r="G16" s="134">
        <f t="shared" si="17"/>
        <v>11572.365599999999</v>
      </c>
      <c r="H16" s="134">
        <v>0</v>
      </c>
      <c r="I16" s="137">
        <f t="shared" ref="I16:I17" si="28">H16*$E16/1000</f>
        <v>0</v>
      </c>
      <c r="J16" s="134">
        <f t="shared" si="18"/>
        <v>0</v>
      </c>
      <c r="K16" s="134">
        <v>90</v>
      </c>
      <c r="L16" s="137">
        <f t="shared" ref="L16:L17" si="29">K16*$E16/1000</f>
        <v>5786.1827999999996</v>
      </c>
      <c r="M16" s="134">
        <f t="shared" si="19"/>
        <v>6943.419359999999</v>
      </c>
      <c r="N16" s="134">
        <v>45</v>
      </c>
      <c r="O16" s="137">
        <f t="shared" ref="O16:O17" si="30">N16*$E16/1000</f>
        <v>2893.0913999999998</v>
      </c>
      <c r="P16" s="134">
        <f t="shared" si="20"/>
        <v>3471.7096799999995</v>
      </c>
      <c r="Q16" s="134">
        <v>15</v>
      </c>
      <c r="R16" s="137">
        <f t="shared" ref="R16:R17" si="31">Q16*$E16/1000</f>
        <v>964.36379999999997</v>
      </c>
      <c r="S16" s="134">
        <f t="shared" si="21"/>
        <v>1157.2365599999998</v>
      </c>
    </row>
    <row r="17" spans="1:19" ht="25.5" x14ac:dyDescent="0.25">
      <c r="A17" s="142" t="s">
        <v>49</v>
      </c>
      <c r="B17" s="144" t="s">
        <v>81</v>
      </c>
      <c r="C17" s="141" t="s">
        <v>65</v>
      </c>
      <c r="D17" s="134">
        <f t="shared" si="16"/>
        <v>238</v>
      </c>
      <c r="E17" s="135">
        <f>'итого 25-28'!E21</f>
        <v>19206.13</v>
      </c>
      <c r="F17" s="136">
        <f t="shared" si="27"/>
        <v>4571.0589399999999</v>
      </c>
      <c r="G17" s="134">
        <f t="shared" si="17"/>
        <v>5485.2707279999995</v>
      </c>
      <c r="H17" s="134">
        <v>0</v>
      </c>
      <c r="I17" s="137">
        <f t="shared" si="28"/>
        <v>0</v>
      </c>
      <c r="J17" s="134">
        <f t="shared" si="18"/>
        <v>0</v>
      </c>
      <c r="K17" s="134">
        <v>143</v>
      </c>
      <c r="L17" s="137">
        <f t="shared" si="29"/>
        <v>2746.4765900000002</v>
      </c>
      <c r="M17" s="134">
        <f t="shared" si="19"/>
        <v>3295.7719080000002</v>
      </c>
      <c r="N17" s="134">
        <v>71</v>
      </c>
      <c r="O17" s="137">
        <f t="shared" si="30"/>
        <v>1363.6352300000001</v>
      </c>
      <c r="P17" s="134">
        <f t="shared" si="20"/>
        <v>1636.3622760000001</v>
      </c>
      <c r="Q17" s="134">
        <v>24</v>
      </c>
      <c r="R17" s="137">
        <f t="shared" si="31"/>
        <v>460.94711999999998</v>
      </c>
      <c r="S17" s="134">
        <f t="shared" si="21"/>
        <v>553.13654399999996</v>
      </c>
    </row>
    <row r="18" spans="1:19" ht="25.5" x14ac:dyDescent="0.25">
      <c r="A18" s="131">
        <v>5</v>
      </c>
      <c r="B18" s="143" t="s">
        <v>82</v>
      </c>
      <c r="C18" s="141" t="s">
        <v>65</v>
      </c>
      <c r="D18" s="134">
        <f t="shared" si="16"/>
        <v>11900</v>
      </c>
      <c r="E18" s="135"/>
      <c r="F18" s="136">
        <f t="shared" si="27"/>
        <v>3700.0030400000001</v>
      </c>
      <c r="G18" s="134">
        <f t="shared" si="17"/>
        <v>4440.0036479999999</v>
      </c>
      <c r="H18" s="134">
        <f>SUM(H19:H21)</f>
        <v>0</v>
      </c>
      <c r="I18" s="137">
        <f>SUM(I19:I21)</f>
        <v>0</v>
      </c>
      <c r="J18" s="134">
        <f t="shared" si="18"/>
        <v>0</v>
      </c>
      <c r="K18" s="134">
        <f>SUM(K19:K21)</f>
        <v>6997</v>
      </c>
      <c r="L18" s="137">
        <f>SUM(L19:L21)</f>
        <v>2180.5345900000002</v>
      </c>
      <c r="M18" s="134">
        <f t="shared" si="19"/>
        <v>2616.6415080000002</v>
      </c>
      <c r="N18" s="134">
        <f>SUM(N19:N21)</f>
        <v>3677</v>
      </c>
      <c r="O18" s="137">
        <f>SUM(O19:O21)</f>
        <v>1139.2465099999999</v>
      </c>
      <c r="P18" s="134">
        <f t="shared" si="20"/>
        <v>1367.0958119999998</v>
      </c>
      <c r="Q18" s="134">
        <f>SUM(Q19:Q21)</f>
        <v>1226</v>
      </c>
      <c r="R18" s="137">
        <f>SUM(R19:R21)</f>
        <v>380.22193999999996</v>
      </c>
      <c r="S18" s="134">
        <f t="shared" si="21"/>
        <v>456.26632799999993</v>
      </c>
    </row>
    <row r="19" spans="1:19" ht="25.5" x14ac:dyDescent="0.25">
      <c r="A19" s="138" t="s">
        <v>55</v>
      </c>
      <c r="B19" s="144" t="s">
        <v>32</v>
      </c>
      <c r="C19" s="141" t="s">
        <v>65</v>
      </c>
      <c r="D19" s="134">
        <f t="shared" si="16"/>
        <v>11843</v>
      </c>
      <c r="E19" s="135">
        <f>'итого 25-28'!E23</f>
        <v>305.58999999999997</v>
      </c>
      <c r="F19" s="136">
        <f t="shared" si="27"/>
        <v>3619.1023700000001</v>
      </c>
      <c r="G19" s="134">
        <f t="shared" si="17"/>
        <v>4342.9228439999997</v>
      </c>
      <c r="H19" s="134">
        <v>0</v>
      </c>
      <c r="I19" s="137">
        <f t="shared" ref="I19:I21" si="32">H19*$E19/1000</f>
        <v>0</v>
      </c>
      <c r="J19" s="134">
        <f t="shared" si="18"/>
        <v>0</v>
      </c>
      <c r="K19" s="134">
        <v>6959</v>
      </c>
      <c r="L19" s="137">
        <f t="shared" ref="L19:L21" si="33">K19*$E19/1000</f>
        <v>2126.6008099999999</v>
      </c>
      <c r="M19" s="134">
        <f t="shared" si="19"/>
        <v>2551.9209719999999</v>
      </c>
      <c r="N19" s="134">
        <v>3663</v>
      </c>
      <c r="O19" s="137">
        <f t="shared" ref="O19:O21" si="34">N19*$E19/1000</f>
        <v>1119.37617</v>
      </c>
      <c r="P19" s="134">
        <f t="shared" si="20"/>
        <v>1343.2514039999999</v>
      </c>
      <c r="Q19" s="134">
        <v>1221</v>
      </c>
      <c r="R19" s="137">
        <f t="shared" ref="R19:R21" si="35">Q19*$E19/1000</f>
        <v>373.12538999999998</v>
      </c>
      <c r="S19" s="134">
        <f t="shared" si="21"/>
        <v>447.75046799999996</v>
      </c>
    </row>
    <row r="20" spans="1:19" ht="51" x14ac:dyDescent="0.25">
      <c r="A20" s="138" t="s">
        <v>57</v>
      </c>
      <c r="B20" s="144" t="s">
        <v>83</v>
      </c>
      <c r="C20" s="141" t="s">
        <v>65</v>
      </c>
      <c r="D20" s="134">
        <f t="shared" si="16"/>
        <v>36</v>
      </c>
      <c r="E20" s="135">
        <f>'итого 25-28'!E24</f>
        <v>1419.31</v>
      </c>
      <c r="F20" s="136">
        <f t="shared" si="27"/>
        <v>51.095160000000007</v>
      </c>
      <c r="G20" s="134">
        <f t="shared" si="17"/>
        <v>61.314192000000006</v>
      </c>
      <c r="H20" s="134">
        <v>0</v>
      </c>
      <c r="I20" s="137">
        <f t="shared" si="32"/>
        <v>0</v>
      </c>
      <c r="J20" s="134">
        <f t="shared" si="18"/>
        <v>0</v>
      </c>
      <c r="K20" s="134">
        <v>25</v>
      </c>
      <c r="L20" s="137">
        <f t="shared" si="33"/>
        <v>35.482750000000003</v>
      </c>
      <c r="M20" s="134">
        <f t="shared" si="19"/>
        <v>42.579300000000003</v>
      </c>
      <c r="N20" s="134">
        <v>8</v>
      </c>
      <c r="O20" s="137">
        <f t="shared" si="34"/>
        <v>11.354479999999999</v>
      </c>
      <c r="P20" s="134">
        <f t="shared" si="20"/>
        <v>13.625375999999997</v>
      </c>
      <c r="Q20" s="134">
        <v>3</v>
      </c>
      <c r="R20" s="137">
        <f t="shared" si="35"/>
        <v>4.25793</v>
      </c>
      <c r="S20" s="134">
        <f t="shared" si="21"/>
        <v>5.1095160000000002</v>
      </c>
    </row>
    <row r="21" spans="1:19" ht="51" x14ac:dyDescent="0.25">
      <c r="A21" s="138" t="s">
        <v>84</v>
      </c>
      <c r="B21" s="144" t="s">
        <v>99</v>
      </c>
      <c r="C21" s="141" t="s">
        <v>65</v>
      </c>
      <c r="D21" s="134">
        <f t="shared" si="16"/>
        <v>21</v>
      </c>
      <c r="E21" s="135">
        <f>'итого 25-28'!E25</f>
        <v>1419.31</v>
      </c>
      <c r="F21" s="136">
        <f t="shared" si="27"/>
        <v>29.805509999999998</v>
      </c>
      <c r="G21" s="134">
        <f t="shared" si="17"/>
        <v>35.766611999999995</v>
      </c>
      <c r="H21" s="134">
        <v>0</v>
      </c>
      <c r="I21" s="137">
        <f t="shared" si="32"/>
        <v>0</v>
      </c>
      <c r="J21" s="134">
        <f t="shared" si="18"/>
        <v>0</v>
      </c>
      <c r="K21" s="134">
        <v>13</v>
      </c>
      <c r="L21" s="137">
        <f t="shared" si="33"/>
        <v>18.451029999999999</v>
      </c>
      <c r="M21" s="134">
        <f t="shared" si="19"/>
        <v>22.141235999999999</v>
      </c>
      <c r="N21" s="134">
        <v>6</v>
      </c>
      <c r="O21" s="137">
        <f t="shared" si="34"/>
        <v>8.51586</v>
      </c>
      <c r="P21" s="134">
        <f t="shared" si="20"/>
        <v>10.219032</v>
      </c>
      <c r="Q21" s="134">
        <v>2</v>
      </c>
      <c r="R21" s="137">
        <f t="shared" si="35"/>
        <v>2.8386199999999997</v>
      </c>
      <c r="S21" s="134">
        <f t="shared" si="21"/>
        <v>3.4063439999999994</v>
      </c>
    </row>
    <row r="22" spans="1:19" ht="25.5" x14ac:dyDescent="0.25">
      <c r="A22" s="131" t="s">
        <v>100</v>
      </c>
      <c r="B22" s="143" t="s">
        <v>86</v>
      </c>
      <c r="C22" s="141" t="s">
        <v>65</v>
      </c>
      <c r="D22" s="134">
        <f t="shared" si="16"/>
        <v>8311</v>
      </c>
      <c r="E22" s="135"/>
      <c r="F22" s="136">
        <f>'итого 25-28'!F26</f>
        <v>96551.767590000003</v>
      </c>
      <c r="G22" s="134">
        <f t="shared" si="17"/>
        <v>115862.12110800001</v>
      </c>
      <c r="H22" s="134">
        <f>H14+H15</f>
        <v>4000</v>
      </c>
      <c r="I22" s="137">
        <f t="shared" ref="I22:J22" si="36">I14+I15</f>
        <v>40447.553979999997</v>
      </c>
      <c r="J22" s="134">
        <f t="shared" si="36"/>
        <v>48537.064775999992</v>
      </c>
      <c r="K22" s="134">
        <f>K14+K15</f>
        <v>3079</v>
      </c>
      <c r="L22" s="137">
        <f t="shared" ref="L22:M22" si="37">L14+L15</f>
        <v>38497.491710000002</v>
      </c>
      <c r="M22" s="134">
        <f t="shared" si="37"/>
        <v>46196.990052000001</v>
      </c>
      <c r="N22" s="134">
        <f>N14+N15</f>
        <v>926</v>
      </c>
      <c r="O22" s="137">
        <f t="shared" ref="O22:P22" si="38">O14+O15</f>
        <v>13224.282520000001</v>
      </c>
      <c r="P22" s="134">
        <f t="shared" si="38"/>
        <v>15869.139023999998</v>
      </c>
      <c r="Q22" s="134">
        <f>Q14+Q15</f>
        <v>306</v>
      </c>
      <c r="R22" s="137">
        <f t="shared" ref="R22:S22" si="39">R14+R15</f>
        <v>4382.4393799999998</v>
      </c>
      <c r="S22" s="134">
        <f t="shared" si="39"/>
        <v>5258.927255999999</v>
      </c>
    </row>
    <row r="23" spans="1:19" x14ac:dyDescent="0.25">
      <c r="A23" s="131" t="s">
        <v>101</v>
      </c>
      <c r="B23" s="143" t="s">
        <v>102</v>
      </c>
      <c r="C23" s="141" t="s">
        <v>65</v>
      </c>
      <c r="D23" s="134">
        <f>'итого 25-28'!D27</f>
        <v>0</v>
      </c>
      <c r="E23" s="135"/>
      <c r="F23" s="136">
        <f>F14+F15+F18</f>
        <v>100251.77063</v>
      </c>
      <c r="G23" s="134">
        <f t="shared" si="17"/>
        <v>120302.12475599999</v>
      </c>
      <c r="H23" s="134">
        <f t="shared" ref="H23:H24" si="40">D23*0.2</f>
        <v>0</v>
      </c>
      <c r="I23" s="137">
        <f>I14+I15+I18</f>
        <v>40447.553979999997</v>
      </c>
      <c r="J23" s="134">
        <f t="shared" si="18"/>
        <v>48537.064775999992</v>
      </c>
      <c r="K23" s="134">
        <f t="shared" ref="K23:K24" si="41">D23*0.4</f>
        <v>0</v>
      </c>
      <c r="L23" s="137">
        <f>L14+L15+L18</f>
        <v>40678.026300000005</v>
      </c>
      <c r="M23" s="134">
        <f t="shared" si="19"/>
        <v>48813.631560000002</v>
      </c>
      <c r="N23" s="134">
        <f t="shared" ref="N23:N24" si="42">D23*0.3</f>
        <v>0</v>
      </c>
      <c r="O23" s="137">
        <f>O14+O15+O18</f>
        <v>14363.529030000002</v>
      </c>
      <c r="P23" s="134">
        <f t="shared" si="20"/>
        <v>17236.234836</v>
      </c>
      <c r="Q23" s="134">
        <f t="shared" ref="Q23:Q24" si="43">D23*0.1</f>
        <v>0</v>
      </c>
      <c r="R23" s="137">
        <f>R14+R15+R18</f>
        <v>4762.6613200000002</v>
      </c>
      <c r="S23" s="134">
        <f t="shared" si="21"/>
        <v>5715.1935839999996</v>
      </c>
    </row>
    <row r="24" spans="1:19" x14ac:dyDescent="0.25">
      <c r="A24" s="145"/>
      <c r="B24" s="144"/>
      <c r="C24" s="141"/>
      <c r="D24" s="134">
        <f>'итого 25-28'!D28</f>
        <v>0</v>
      </c>
      <c r="E24" s="135"/>
      <c r="F24" s="136">
        <f>'итого 25-28'!F28</f>
        <v>0</v>
      </c>
      <c r="G24" s="134">
        <f t="shared" si="17"/>
        <v>0</v>
      </c>
      <c r="H24" s="134">
        <f t="shared" si="40"/>
        <v>0</v>
      </c>
      <c r="I24" s="134">
        <f>ROUND(H24*E24/1000,5)</f>
        <v>0</v>
      </c>
      <c r="J24" s="134">
        <f t="shared" si="18"/>
        <v>0</v>
      </c>
      <c r="K24" s="134">
        <f t="shared" si="41"/>
        <v>0</v>
      </c>
      <c r="L24" s="146">
        <f>ROUND(K24*E24/1000,5)</f>
        <v>0</v>
      </c>
      <c r="M24" s="146">
        <f t="shared" si="19"/>
        <v>0</v>
      </c>
      <c r="N24" s="134">
        <f t="shared" si="42"/>
        <v>0</v>
      </c>
      <c r="O24" s="146">
        <f>ROUND(N24*E24/1000,5)</f>
        <v>0</v>
      </c>
      <c r="P24" s="146">
        <f t="shared" si="20"/>
        <v>0</v>
      </c>
      <c r="Q24" s="134">
        <f t="shared" si="43"/>
        <v>0</v>
      </c>
      <c r="R24" s="146">
        <v>452.25954000000036</v>
      </c>
      <c r="S24" s="146">
        <f t="shared" si="21"/>
        <v>542.71144800000036</v>
      </c>
    </row>
  </sheetData>
  <mergeCells count="9">
    <mergeCell ref="H1:J1"/>
    <mergeCell ref="K1:M1"/>
    <mergeCell ref="N1:P1"/>
    <mergeCell ref="Q1:S1"/>
    <mergeCell ref="A1:A2"/>
    <mergeCell ref="B1:B2"/>
    <mergeCell ref="C1:C2"/>
    <mergeCell ref="D1:D2"/>
    <mergeCell ref="F1:G1"/>
  </mergeCells>
  <pageMargins left="0.70078740157480324" right="0.70078740157480324" top="0.75196850393700787" bottom="0.75196850393700787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workbookViewId="0">
      <selection activeCell="I22" sqref="I22"/>
    </sheetView>
  </sheetViews>
  <sheetFormatPr defaultRowHeight="15" x14ac:dyDescent="0.25"/>
  <cols>
    <col min="1" max="1" width="9.140625" customWidth="1"/>
    <col min="2" max="2" width="33.42578125" customWidth="1"/>
    <col min="3" max="3" width="5.85546875" customWidth="1"/>
    <col min="4" max="4" width="8" customWidth="1"/>
    <col min="5" max="5" width="10.85546875" customWidth="1"/>
    <col min="6" max="6" width="11.7109375" customWidth="1"/>
    <col min="7" max="7" width="10.85546875" customWidth="1"/>
    <col min="8" max="10" width="10.5703125" customWidth="1"/>
    <col min="11" max="19" width="10.140625" customWidth="1"/>
  </cols>
  <sheetData>
    <row r="1" spans="1:19" ht="33.75" x14ac:dyDescent="0.25">
      <c r="A1" s="196" t="s">
        <v>19</v>
      </c>
      <c r="B1" s="199" t="s">
        <v>20</v>
      </c>
      <c r="C1" s="210" t="s">
        <v>112</v>
      </c>
      <c r="D1" s="210" t="s">
        <v>113</v>
      </c>
      <c r="E1" s="130" t="s">
        <v>91</v>
      </c>
      <c r="F1" s="207" t="s">
        <v>114</v>
      </c>
      <c r="G1" s="209"/>
      <c r="H1" s="207" t="s">
        <v>119</v>
      </c>
      <c r="I1" s="208"/>
      <c r="J1" s="209"/>
      <c r="K1" s="207" t="s">
        <v>120</v>
      </c>
      <c r="L1" s="208"/>
      <c r="M1" s="209"/>
      <c r="N1" s="207" t="s">
        <v>121</v>
      </c>
      <c r="O1" s="208"/>
      <c r="P1" s="209"/>
      <c r="Q1" s="207" t="s">
        <v>122</v>
      </c>
      <c r="R1" s="208"/>
      <c r="S1" s="209"/>
    </row>
    <row r="2" spans="1:19" ht="22.5" x14ac:dyDescent="0.25">
      <c r="A2" s="211"/>
      <c r="B2" s="212"/>
      <c r="C2" s="213"/>
      <c r="D2" s="213"/>
      <c r="E2" s="147" t="s">
        <v>92</v>
      </c>
      <c r="F2" s="147" t="s">
        <v>93</v>
      </c>
      <c r="G2" s="147" t="s">
        <v>94</v>
      </c>
      <c r="H2" s="147" t="s">
        <v>65</v>
      </c>
      <c r="I2" s="147" t="s">
        <v>93</v>
      </c>
      <c r="J2" s="147" t="s">
        <v>94</v>
      </c>
      <c r="K2" s="147" t="s">
        <v>65</v>
      </c>
      <c r="L2" s="147" t="s">
        <v>93</v>
      </c>
      <c r="M2" s="147" t="s">
        <v>94</v>
      </c>
      <c r="N2" s="147" t="s">
        <v>65</v>
      </c>
      <c r="O2" s="147" t="s">
        <v>93</v>
      </c>
      <c r="P2" s="147" t="s">
        <v>94</v>
      </c>
      <c r="Q2" s="147" t="s">
        <v>65</v>
      </c>
      <c r="R2" s="147" t="s">
        <v>93</v>
      </c>
      <c r="S2" s="147" t="s">
        <v>94</v>
      </c>
    </row>
    <row r="3" spans="1:19" x14ac:dyDescent="0.25">
      <c r="A3" s="131">
        <v>1</v>
      </c>
      <c r="B3" s="132" t="s">
        <v>95</v>
      </c>
      <c r="C3" s="133" t="s">
        <v>65</v>
      </c>
      <c r="D3" s="148">
        <f t="shared" ref="D3:D22" si="0">H3+K3+N3+Q3</f>
        <v>35474.000000000007</v>
      </c>
      <c r="E3" s="149"/>
      <c r="F3" s="150">
        <f>SUM(F4:F6)</f>
        <v>374544.01579734677</v>
      </c>
      <c r="G3" s="148">
        <f t="shared" ref="G3:G24" si="1">F3*1.2</f>
        <v>449452.8189568161</v>
      </c>
      <c r="H3" s="148">
        <f>SUM(H4:H6)</f>
        <v>10642.2</v>
      </c>
      <c r="I3" s="151">
        <f>SUM(I4:I6)</f>
        <v>112363.20473920404</v>
      </c>
      <c r="J3" s="148">
        <f t="shared" ref="J3:J24" si="2">I3*1.2</f>
        <v>134835.84568704484</v>
      </c>
      <c r="K3" s="148">
        <f>SUM(K4:K6)</f>
        <v>14189.600000000002</v>
      </c>
      <c r="L3" s="151">
        <f>SUM(L4:L6)</f>
        <v>149817.60631893869</v>
      </c>
      <c r="M3" s="148">
        <f t="shared" ref="M3:M24" si="3">L3*1.2</f>
        <v>179781.12758272642</v>
      </c>
      <c r="N3" s="148">
        <f>SUM(N4:N6)</f>
        <v>7094.8000000000011</v>
      </c>
      <c r="O3" s="151">
        <f>SUM(O4:O6)</f>
        <v>74908.803159469346</v>
      </c>
      <c r="P3" s="148">
        <f t="shared" ref="P3:P24" si="4">O3*1.2</f>
        <v>89890.563791363209</v>
      </c>
      <c r="Q3" s="148">
        <f>SUM(Q4:Q6)</f>
        <v>3547.4000000000005</v>
      </c>
      <c r="R3" s="151">
        <f>SUM(R4:R6)</f>
        <v>37454.401579734673</v>
      </c>
      <c r="S3" s="148">
        <f t="shared" ref="S3:S24" si="5">R3*1.2</f>
        <v>44945.281895681605</v>
      </c>
    </row>
    <row r="4" spans="1:19" ht="51" x14ac:dyDescent="0.25">
      <c r="A4" s="138" t="s">
        <v>31</v>
      </c>
      <c r="B4" s="139" t="s">
        <v>64</v>
      </c>
      <c r="C4" s="133" t="s">
        <v>65</v>
      </c>
      <c r="D4" s="134">
        <f t="shared" si="0"/>
        <v>32016.600000000002</v>
      </c>
      <c r="E4" s="135">
        <f>'итого 25-28'!I8</f>
        <v>10622.292187281015</v>
      </c>
      <c r="F4" s="136">
        <f>E4*D4/1000</f>
        <v>340089.68004330137</v>
      </c>
      <c r="G4" s="134">
        <f t="shared" si="1"/>
        <v>408107.61605196161</v>
      </c>
      <c r="H4" s="134">
        <f>'итого 25-28'!H8/10*3</f>
        <v>9604.9800000000014</v>
      </c>
      <c r="I4" s="137">
        <f>H4*$E4/1000</f>
        <v>102026.90401299042</v>
      </c>
      <c r="J4" s="134">
        <f t="shared" si="2"/>
        <v>122432.2848155885</v>
      </c>
      <c r="K4" s="134">
        <f>'итого 25-28'!H8/10*4</f>
        <v>12806.640000000001</v>
      </c>
      <c r="L4" s="137">
        <f>K4*$E4/1000</f>
        <v>136035.87201732054</v>
      </c>
      <c r="M4" s="134">
        <f t="shared" si="3"/>
        <v>163243.04642078464</v>
      </c>
      <c r="N4" s="134">
        <f>'итого 25-28'!H8/10*2</f>
        <v>6403.3200000000006</v>
      </c>
      <c r="O4" s="137">
        <f>N4*$E4/1000</f>
        <v>68017.936008660268</v>
      </c>
      <c r="P4" s="134">
        <f t="shared" si="4"/>
        <v>81621.523210392319</v>
      </c>
      <c r="Q4" s="134">
        <f>'итого 25-28'!H8/10</f>
        <v>3201.6600000000003</v>
      </c>
      <c r="R4" s="137">
        <f>Q4*$E4/1000</f>
        <v>34008.968004330134</v>
      </c>
      <c r="S4" s="134">
        <f t="shared" si="5"/>
        <v>40810.76160519616</v>
      </c>
    </row>
    <row r="5" spans="1:19" ht="38.25" x14ac:dyDescent="0.25">
      <c r="A5" s="138" t="s">
        <v>33</v>
      </c>
      <c r="B5" s="139" t="s">
        <v>66</v>
      </c>
      <c r="C5" s="133" t="s">
        <v>65</v>
      </c>
      <c r="D5" s="134">
        <f t="shared" si="0"/>
        <v>3457.4000000000005</v>
      </c>
      <c r="E5" s="135">
        <f>'итого 25-28'!I9</f>
        <v>9965.3889495127587</v>
      </c>
      <c r="F5" s="136">
        <f>E5*D5/1000</f>
        <v>34454.335754045416</v>
      </c>
      <c r="G5" s="134">
        <f t="shared" si="1"/>
        <v>41345.202904854501</v>
      </c>
      <c r="H5" s="134">
        <f>'итого 25-28'!H9/10*3</f>
        <v>1037.22</v>
      </c>
      <c r="I5" s="137">
        <f>H5*$E5/1000</f>
        <v>10336.300726213625</v>
      </c>
      <c r="J5" s="134">
        <f t="shared" si="2"/>
        <v>12403.56087145635</v>
      </c>
      <c r="K5" s="134">
        <f>'итого 25-28'!H9/10*4</f>
        <v>1382.96</v>
      </c>
      <c r="L5" s="137">
        <f>K5*$E5/1000</f>
        <v>13781.734301618164</v>
      </c>
      <c r="M5" s="134">
        <f t="shared" si="3"/>
        <v>16538.081161941795</v>
      </c>
      <c r="N5" s="134">
        <f>'итого 25-28'!H9/10*2</f>
        <v>691.48</v>
      </c>
      <c r="O5" s="137">
        <f>N5*$E5/1000</f>
        <v>6890.867150809082</v>
      </c>
      <c r="P5" s="134">
        <f t="shared" si="4"/>
        <v>8269.0405809708973</v>
      </c>
      <c r="Q5" s="134">
        <f>'итого 25-28'!H9/10</f>
        <v>345.74</v>
      </c>
      <c r="R5" s="137">
        <f>Q5*$E5/1000</f>
        <v>3445.433575404541</v>
      </c>
      <c r="S5" s="134">
        <f t="shared" si="5"/>
        <v>4134.5202904854486</v>
      </c>
    </row>
    <row r="6" spans="1:19" ht="25.5" x14ac:dyDescent="0.25">
      <c r="A6" s="138" t="s">
        <v>35</v>
      </c>
      <c r="B6" s="139" t="s">
        <v>67</v>
      </c>
      <c r="C6" s="133" t="s">
        <v>65</v>
      </c>
      <c r="D6" s="134">
        <f t="shared" si="0"/>
        <v>0</v>
      </c>
      <c r="E6" s="135">
        <f>'итого 25-28'!I10</f>
        <v>0</v>
      </c>
      <c r="F6" s="136">
        <f>E6*D6/1000</f>
        <v>0</v>
      </c>
      <c r="G6" s="134">
        <f t="shared" si="1"/>
        <v>0</v>
      </c>
      <c r="H6" s="134">
        <f>'итого 25-28'!H10/10*3</f>
        <v>0</v>
      </c>
      <c r="I6" s="137">
        <f>H6*$E6/1000</f>
        <v>0</v>
      </c>
      <c r="J6" s="134">
        <f t="shared" si="2"/>
        <v>0</v>
      </c>
      <c r="K6" s="134">
        <f>'итого 25-28'!H10/10*4</f>
        <v>0</v>
      </c>
      <c r="L6" s="137">
        <f>K6*$E6/1000</f>
        <v>0</v>
      </c>
      <c r="M6" s="134">
        <f t="shared" si="3"/>
        <v>0</v>
      </c>
      <c r="N6" s="134">
        <f>'итого 25-28'!H10/10*2</f>
        <v>0</v>
      </c>
      <c r="O6" s="137">
        <f>N6*$E6/1000</f>
        <v>0</v>
      </c>
      <c r="P6" s="134">
        <f t="shared" si="4"/>
        <v>0</v>
      </c>
      <c r="Q6" s="134">
        <f>'итого 25-28'!H10/10</f>
        <v>0</v>
      </c>
      <c r="R6" s="137">
        <f>Q6*$E6/1000</f>
        <v>0</v>
      </c>
      <c r="S6" s="134">
        <f t="shared" si="5"/>
        <v>0</v>
      </c>
    </row>
    <row r="7" spans="1:19" x14ac:dyDescent="0.25">
      <c r="A7" s="131" t="s">
        <v>68</v>
      </c>
      <c r="B7" s="140" t="s">
        <v>69</v>
      </c>
      <c r="C7" s="141" t="s">
        <v>65</v>
      </c>
      <c r="D7" s="134">
        <f t="shared" si="0"/>
        <v>5.9999999999999991</v>
      </c>
      <c r="E7" s="135">
        <f>'итого 25-28'!I11</f>
        <v>0</v>
      </c>
      <c r="F7" s="136">
        <f>SUM(F8:F10)</f>
        <v>134.82513532144222</v>
      </c>
      <c r="G7" s="134">
        <f t="shared" si="1"/>
        <v>161.79016238573067</v>
      </c>
      <c r="H7" s="134">
        <f>SUM(H8:H10)</f>
        <v>1.7999999999999998</v>
      </c>
      <c r="I7" s="137">
        <f>SUM(I8:I10)</f>
        <v>40.447540596432674</v>
      </c>
      <c r="J7" s="134">
        <f t="shared" si="2"/>
        <v>48.537048715719209</v>
      </c>
      <c r="K7" s="134">
        <f>SUM(K8:K10)</f>
        <v>2.4</v>
      </c>
      <c r="L7" s="137">
        <f>SUM(L8:L10)</f>
        <v>53.930054128576892</v>
      </c>
      <c r="M7" s="134">
        <f t="shared" si="3"/>
        <v>64.716064954292264</v>
      </c>
      <c r="N7" s="134">
        <f>SUM(N8:N10)</f>
        <v>1.2</v>
      </c>
      <c r="O7" s="137">
        <f>SUM(O8:O10)</f>
        <v>26.965027064288446</v>
      </c>
      <c r="P7" s="134">
        <f t="shared" si="4"/>
        <v>32.358032477146132</v>
      </c>
      <c r="Q7" s="134">
        <f>SUM(Q8:Q10)</f>
        <v>0.6</v>
      </c>
      <c r="R7" s="137">
        <f>SUM(R8:R10)</f>
        <v>13.482513532144223</v>
      </c>
      <c r="S7" s="134">
        <f t="shared" si="5"/>
        <v>16.179016238573066</v>
      </c>
    </row>
    <row r="8" spans="1:19" ht="38.25" x14ac:dyDescent="0.25">
      <c r="A8" s="138" t="s">
        <v>70</v>
      </c>
      <c r="B8" s="139" t="s">
        <v>96</v>
      </c>
      <c r="C8" s="133" t="s">
        <v>65</v>
      </c>
      <c r="D8" s="134">
        <f t="shared" si="0"/>
        <v>5.9999999999999991</v>
      </c>
      <c r="E8" s="135">
        <f>'итого 25-28'!I12</f>
        <v>22470.85588690704</v>
      </c>
      <c r="F8" s="136">
        <f>E8*D8/1000</f>
        <v>134.82513532144222</v>
      </c>
      <c r="G8" s="134">
        <f t="shared" si="1"/>
        <v>161.79016238573067</v>
      </c>
      <c r="H8" s="152">
        <f>'итого 25-28'!H12/10*3</f>
        <v>1.7999999999999998</v>
      </c>
      <c r="I8" s="137">
        <f>H8*$E8/1000</f>
        <v>40.447540596432674</v>
      </c>
      <c r="J8" s="134">
        <f t="shared" si="2"/>
        <v>48.537048715719209</v>
      </c>
      <c r="K8" s="152">
        <f>'итого 25-28'!H12/10*4</f>
        <v>2.4</v>
      </c>
      <c r="L8" s="137">
        <f>K8*$E8/1000</f>
        <v>53.930054128576892</v>
      </c>
      <c r="M8" s="134">
        <f t="shared" si="3"/>
        <v>64.716064954292264</v>
      </c>
      <c r="N8" s="152">
        <f>'итого 25-28'!H12/10*2</f>
        <v>1.2</v>
      </c>
      <c r="O8" s="137">
        <f>N8*$E8/1000</f>
        <v>26.965027064288446</v>
      </c>
      <c r="P8" s="134">
        <f t="shared" si="4"/>
        <v>32.358032477146132</v>
      </c>
      <c r="Q8" s="152">
        <f>'итого 25-28'!H12/10</f>
        <v>0.6</v>
      </c>
      <c r="R8" s="137">
        <f>Q8*$E8/1000</f>
        <v>13.482513532144223</v>
      </c>
      <c r="S8" s="134">
        <f t="shared" si="5"/>
        <v>16.179016238573066</v>
      </c>
    </row>
    <row r="9" spans="1:19" ht="51" x14ac:dyDescent="0.25">
      <c r="A9" s="153" t="s">
        <v>72</v>
      </c>
      <c r="B9" s="139" t="s">
        <v>97</v>
      </c>
      <c r="C9" s="133" t="s">
        <v>65</v>
      </c>
      <c r="D9" s="134">
        <f t="shared" si="0"/>
        <v>0</v>
      </c>
      <c r="E9" s="135">
        <f>'итого 25-28'!I13</f>
        <v>37689.228925929012</v>
      </c>
      <c r="F9" s="136">
        <f>E9*D9/1000</f>
        <v>0</v>
      </c>
      <c r="G9" s="134">
        <f t="shared" si="1"/>
        <v>0</v>
      </c>
      <c r="H9" s="134">
        <f>'итого 25-28'!H13/10*3</f>
        <v>0</v>
      </c>
      <c r="I9" s="137">
        <f>H9*$E9/1000</f>
        <v>0</v>
      </c>
      <c r="J9" s="134">
        <f t="shared" si="2"/>
        <v>0</v>
      </c>
      <c r="K9" s="134">
        <f>'итого 25-28'!H13/10*4</f>
        <v>0</v>
      </c>
      <c r="L9" s="137">
        <f>K9*$E9/1000</f>
        <v>0</v>
      </c>
      <c r="M9" s="134">
        <f t="shared" si="3"/>
        <v>0</v>
      </c>
      <c r="N9" s="134">
        <f>'итого 25-28'!H13/10*2</f>
        <v>0</v>
      </c>
      <c r="O9" s="137">
        <f>N9*$E9/1000</f>
        <v>0</v>
      </c>
      <c r="P9" s="134">
        <f t="shared" si="4"/>
        <v>0</v>
      </c>
      <c r="Q9" s="134">
        <f>'итого 25-28'!H13/10</f>
        <v>0</v>
      </c>
      <c r="R9" s="137">
        <f>Q9*$E9/1000</f>
        <v>0</v>
      </c>
      <c r="S9" s="134">
        <f t="shared" si="5"/>
        <v>0</v>
      </c>
    </row>
    <row r="10" spans="1:19" ht="25.5" x14ac:dyDescent="0.25">
      <c r="A10" s="153" t="s">
        <v>74</v>
      </c>
      <c r="B10" s="139" t="s">
        <v>75</v>
      </c>
      <c r="C10" s="141" t="s">
        <v>65</v>
      </c>
      <c r="D10" s="134">
        <f t="shared" si="0"/>
        <v>0</v>
      </c>
      <c r="E10" s="154">
        <f>'итого 25-28'!I14</f>
        <v>10317.749760844548</v>
      </c>
      <c r="F10" s="136">
        <f>E10*D10/1000</f>
        <v>0</v>
      </c>
      <c r="G10" s="134">
        <f t="shared" si="1"/>
        <v>0</v>
      </c>
      <c r="H10" s="134">
        <f>'итого 25-28'!H14/10*3</f>
        <v>0</v>
      </c>
      <c r="I10" s="137">
        <f>H10*$E10/1000</f>
        <v>0</v>
      </c>
      <c r="J10" s="134">
        <f t="shared" si="2"/>
        <v>0</v>
      </c>
      <c r="K10" s="152">
        <f>'итого 25-28'!H14/10*4</f>
        <v>0</v>
      </c>
      <c r="L10" s="137">
        <f>K10*$E10/1000</f>
        <v>0</v>
      </c>
      <c r="M10" s="134">
        <f t="shared" si="3"/>
        <v>0</v>
      </c>
      <c r="N10" s="152">
        <f>'итого 25-28'!H14/10*2</f>
        <v>0</v>
      </c>
      <c r="O10" s="137">
        <f>N10*$E10/1000</f>
        <v>0</v>
      </c>
      <c r="P10" s="134">
        <f t="shared" si="4"/>
        <v>0</v>
      </c>
      <c r="Q10" s="152">
        <f>'итого 25-28'!H14/10</f>
        <v>0</v>
      </c>
      <c r="R10" s="137">
        <f>Q10*$E10/1000</f>
        <v>0</v>
      </c>
      <c r="S10" s="134">
        <f t="shared" si="5"/>
        <v>0</v>
      </c>
    </row>
    <row r="11" spans="1:19" x14ac:dyDescent="0.25">
      <c r="A11" s="131">
        <v>3</v>
      </c>
      <c r="B11" s="143" t="s">
        <v>76</v>
      </c>
      <c r="C11" s="141" t="s">
        <v>65</v>
      </c>
      <c r="D11" s="148">
        <f t="shared" si="0"/>
        <v>663</v>
      </c>
      <c r="E11" s="149"/>
      <c r="F11" s="150">
        <f>SUM(F12:F13)</f>
        <v>19977.460904877131</v>
      </c>
      <c r="G11" s="148">
        <f t="shared" si="1"/>
        <v>23972.953085852558</v>
      </c>
      <c r="H11" s="148">
        <f>SUM(H12:H13)</f>
        <v>198.90000000000003</v>
      </c>
      <c r="I11" s="151">
        <f>SUM(I12:I13)</f>
        <v>5993.2382714631385</v>
      </c>
      <c r="J11" s="148">
        <f t="shared" si="2"/>
        <v>7191.885925755766</v>
      </c>
      <c r="K11" s="148">
        <f>SUM(K12:K13)</f>
        <v>265.20000000000005</v>
      </c>
      <c r="L11" s="151">
        <f>SUM(L12:L13)</f>
        <v>7990.9843619508501</v>
      </c>
      <c r="M11" s="148">
        <f t="shared" si="3"/>
        <v>9589.1812343410202</v>
      </c>
      <c r="N11" s="148">
        <f>SUM(N12:N13)</f>
        <v>132.60000000000002</v>
      </c>
      <c r="O11" s="151">
        <f>SUM(O12:O13)</f>
        <v>3995.4921809754251</v>
      </c>
      <c r="P11" s="148">
        <f t="shared" si="4"/>
        <v>4794.5906171705101</v>
      </c>
      <c r="Q11" s="148">
        <f>SUM(Q12:Q13)</f>
        <v>66.300000000000011</v>
      </c>
      <c r="R11" s="151">
        <f>SUM(R12:R13)</f>
        <v>1997.7460904877125</v>
      </c>
      <c r="S11" s="148">
        <f t="shared" si="5"/>
        <v>2397.295308585255</v>
      </c>
    </row>
    <row r="12" spans="1:19" ht="76.5" x14ac:dyDescent="0.25">
      <c r="A12" s="138" t="s">
        <v>39</v>
      </c>
      <c r="B12" s="144" t="s">
        <v>77</v>
      </c>
      <c r="C12" s="141" t="s">
        <v>65</v>
      </c>
      <c r="D12" s="134">
        <f t="shared" si="0"/>
        <v>397.00000000000006</v>
      </c>
      <c r="E12" s="154">
        <f>'итого 25-28'!I16</f>
        <v>24026.204640267388</v>
      </c>
      <c r="F12" s="136">
        <f>E12*D12/1000</f>
        <v>9538.4032421861557</v>
      </c>
      <c r="G12" s="134">
        <f t="shared" si="1"/>
        <v>11446.083890623386</v>
      </c>
      <c r="H12" s="152">
        <f>'итого 25-28'!H16/10*3</f>
        <v>119.10000000000001</v>
      </c>
      <c r="I12" s="137">
        <f>H12*$E12/1000</f>
        <v>2861.5209726558464</v>
      </c>
      <c r="J12" s="134">
        <f t="shared" si="2"/>
        <v>3433.8251671870157</v>
      </c>
      <c r="K12" s="155">
        <f>'итого 25-28'!H16/10*4</f>
        <v>158.80000000000001</v>
      </c>
      <c r="L12" s="137">
        <f>K12*$E12/1000</f>
        <v>3815.361296874461</v>
      </c>
      <c r="M12" s="134">
        <f t="shared" si="3"/>
        <v>4578.4335562493534</v>
      </c>
      <c r="N12" s="155">
        <f>'итого 25-28'!H16/10*2</f>
        <v>79.400000000000006</v>
      </c>
      <c r="O12" s="137">
        <f>N12*$E12/1000</f>
        <v>1907.6806484372305</v>
      </c>
      <c r="P12" s="134">
        <f t="shared" si="4"/>
        <v>2289.2167781246767</v>
      </c>
      <c r="Q12" s="155">
        <f>'итого 25-28'!H16/10</f>
        <v>39.700000000000003</v>
      </c>
      <c r="R12" s="137">
        <f>Q12*$E12/1000</f>
        <v>953.84032421861525</v>
      </c>
      <c r="S12" s="134">
        <f t="shared" si="5"/>
        <v>1144.6083890623383</v>
      </c>
    </row>
    <row r="13" spans="1:19" ht="89.25" x14ac:dyDescent="0.25">
      <c r="A13" s="138" t="s">
        <v>41</v>
      </c>
      <c r="B13" s="144" t="s">
        <v>78</v>
      </c>
      <c r="C13" s="141" t="s">
        <v>65</v>
      </c>
      <c r="D13" s="134">
        <f t="shared" si="0"/>
        <v>266.00000000000006</v>
      </c>
      <c r="E13" s="135">
        <f>'итого 25-28'!I17</f>
        <v>39244.577679289367</v>
      </c>
      <c r="F13" s="136">
        <f>E13*D13/1000</f>
        <v>10439.057662690973</v>
      </c>
      <c r="G13" s="134">
        <f t="shared" si="1"/>
        <v>12526.869195229168</v>
      </c>
      <c r="H13" s="134">
        <f>'итого 25-28'!H17/10*3</f>
        <v>79.800000000000011</v>
      </c>
      <c r="I13" s="137">
        <f>H13*$E13/1000</f>
        <v>3131.7172988072916</v>
      </c>
      <c r="J13" s="134">
        <f t="shared" si="2"/>
        <v>3758.0607585687499</v>
      </c>
      <c r="K13" s="152">
        <f>'итого 25-28'!H17/10*4</f>
        <v>106.4</v>
      </c>
      <c r="L13" s="137">
        <f>K13*$E13/1000</f>
        <v>4175.6230650763891</v>
      </c>
      <c r="M13" s="134">
        <f t="shared" si="3"/>
        <v>5010.7476780916668</v>
      </c>
      <c r="N13" s="152">
        <f>'итого 25-28'!H17/10*2</f>
        <v>53.2</v>
      </c>
      <c r="O13" s="137">
        <f>N13*$E13/1000</f>
        <v>2087.8115325381946</v>
      </c>
      <c r="P13" s="134">
        <f t="shared" si="4"/>
        <v>2505.3738390458334</v>
      </c>
      <c r="Q13" s="152">
        <f>'итого 25-28'!H17/10</f>
        <v>26.6</v>
      </c>
      <c r="R13" s="137">
        <f>Q13*$E13/1000</f>
        <v>1043.9057662690973</v>
      </c>
      <c r="S13" s="134">
        <f t="shared" si="5"/>
        <v>1252.6869195229167</v>
      </c>
    </row>
    <row r="14" spans="1:19" x14ac:dyDescent="0.25">
      <c r="A14" s="131"/>
      <c r="B14" s="143" t="s">
        <v>62</v>
      </c>
      <c r="C14" s="141" t="s">
        <v>65</v>
      </c>
      <c r="D14" s="148">
        <f t="shared" si="0"/>
        <v>36143.000000000007</v>
      </c>
      <c r="E14" s="149"/>
      <c r="F14" s="150">
        <f>F11+F7+F3</f>
        <v>394656.30183754535</v>
      </c>
      <c r="G14" s="148">
        <f t="shared" si="1"/>
        <v>473587.56220505439</v>
      </c>
      <c r="H14" s="148">
        <f>H11+H7+H3</f>
        <v>10842.900000000001</v>
      </c>
      <c r="I14" s="151">
        <f>I11+I7+I3</f>
        <v>118396.89055126361</v>
      </c>
      <c r="J14" s="148">
        <f t="shared" si="2"/>
        <v>142076.26866151634</v>
      </c>
      <c r="K14" s="148">
        <f>K11+K7+K3</f>
        <v>14457.200000000003</v>
      </c>
      <c r="L14" s="151">
        <f>L11+L7+L3</f>
        <v>157862.52073501813</v>
      </c>
      <c r="M14" s="148">
        <f t="shared" si="3"/>
        <v>189435.02488202174</v>
      </c>
      <c r="N14" s="148">
        <f>N11+N7+N3</f>
        <v>7228.6000000000013</v>
      </c>
      <c r="O14" s="151">
        <f>O11+O7+O3</f>
        <v>78931.260367509065</v>
      </c>
      <c r="P14" s="148">
        <f t="shared" si="4"/>
        <v>94717.512441010869</v>
      </c>
      <c r="Q14" s="148">
        <f>Q11+Q7+Q3</f>
        <v>3614.3000000000006</v>
      </c>
      <c r="R14" s="151">
        <f>R11+R7+R3</f>
        <v>39465.630183754532</v>
      </c>
      <c r="S14" s="148">
        <f t="shared" si="5"/>
        <v>47358.756220505435</v>
      </c>
    </row>
    <row r="15" spans="1:19" x14ac:dyDescent="0.25">
      <c r="A15" s="131">
        <v>4</v>
      </c>
      <c r="B15" s="143" t="s">
        <v>79</v>
      </c>
      <c r="C15" s="141" t="s">
        <v>65</v>
      </c>
      <c r="D15" s="148">
        <f t="shared" si="0"/>
        <v>2580</v>
      </c>
      <c r="E15" s="149"/>
      <c r="F15" s="150">
        <f t="shared" ref="F15:F21" si="6">I15+L15+O15+R15</f>
        <v>81989.349511500972</v>
      </c>
      <c r="G15" s="148">
        <f t="shared" si="1"/>
        <v>98387.219413801169</v>
      </c>
      <c r="H15" s="148">
        <f>SUM(H16:H17)</f>
        <v>774</v>
      </c>
      <c r="I15" s="151">
        <f>SUM(I16:I17)</f>
        <v>24596.804853450292</v>
      </c>
      <c r="J15" s="148">
        <f t="shared" si="2"/>
        <v>29516.165824140349</v>
      </c>
      <c r="K15" s="148">
        <f>SUM(K16:K17)</f>
        <v>1032</v>
      </c>
      <c r="L15" s="151">
        <f>SUM(L16:L17)</f>
        <v>32795.739804600387</v>
      </c>
      <c r="M15" s="148">
        <f t="shared" si="3"/>
        <v>39354.887765520463</v>
      </c>
      <c r="N15" s="148">
        <f>SUM(N16:N17)</f>
        <v>516</v>
      </c>
      <c r="O15" s="151">
        <f>SUM(O16:O17)</f>
        <v>16397.869902300194</v>
      </c>
      <c r="P15" s="148">
        <f t="shared" si="4"/>
        <v>19677.443882760232</v>
      </c>
      <c r="Q15" s="148">
        <f>SUM(Q16:Q17)</f>
        <v>258</v>
      </c>
      <c r="R15" s="151">
        <f>SUM(R16:R17)</f>
        <v>8198.9349511500968</v>
      </c>
      <c r="S15" s="148">
        <f t="shared" si="5"/>
        <v>9838.7219413801158</v>
      </c>
    </row>
    <row r="16" spans="1:19" ht="25.5" x14ac:dyDescent="0.25">
      <c r="A16" s="138" t="s">
        <v>47</v>
      </c>
      <c r="B16" s="144" t="s">
        <v>80</v>
      </c>
      <c r="C16" s="141" t="s">
        <v>65</v>
      </c>
      <c r="D16" s="134">
        <f t="shared" si="0"/>
        <v>645</v>
      </c>
      <c r="E16" s="154">
        <f>'итого 25-28'!I20</f>
        <v>67036.370646190306</v>
      </c>
      <c r="F16" s="136">
        <f t="shared" si="6"/>
        <v>43238.45906679274</v>
      </c>
      <c r="G16" s="134">
        <f t="shared" si="1"/>
        <v>51886.15088015129</v>
      </c>
      <c r="H16" s="152">
        <f>'итого 25-28'!H20/10*3</f>
        <v>193.5</v>
      </c>
      <c r="I16" s="137">
        <f>H16*$E16/1000</f>
        <v>12971.537720037824</v>
      </c>
      <c r="J16" s="134">
        <f t="shared" si="2"/>
        <v>15565.845264045389</v>
      </c>
      <c r="K16" s="155">
        <f>'итого 25-28'!H20/10*4</f>
        <v>258</v>
      </c>
      <c r="L16" s="137">
        <f>K16*$E16/1000</f>
        <v>17295.383626717099</v>
      </c>
      <c r="M16" s="134">
        <f t="shared" si="3"/>
        <v>20754.46035206052</v>
      </c>
      <c r="N16" s="155">
        <f>'итого 25-28'!H20/10*2</f>
        <v>129</v>
      </c>
      <c r="O16" s="137">
        <f>N16*$E16/1000</f>
        <v>8647.6918133585496</v>
      </c>
      <c r="P16" s="134">
        <f t="shared" si="4"/>
        <v>10377.23017603026</v>
      </c>
      <c r="Q16" s="155">
        <f>'итого 25-28'!H20/10</f>
        <v>64.5</v>
      </c>
      <c r="R16" s="137">
        <f>Q16*$E16/1000</f>
        <v>4323.8459066792748</v>
      </c>
      <c r="S16" s="134">
        <f t="shared" si="5"/>
        <v>5188.6150880151299</v>
      </c>
    </row>
    <row r="17" spans="1:19" ht="25.5" x14ac:dyDescent="0.25">
      <c r="A17" s="153" t="s">
        <v>49</v>
      </c>
      <c r="B17" s="144" t="s">
        <v>81</v>
      </c>
      <c r="C17" s="141" t="s">
        <v>65</v>
      </c>
      <c r="D17" s="134">
        <f t="shared" si="0"/>
        <v>1935</v>
      </c>
      <c r="E17" s="135">
        <f>'итого 25-28'!I21</f>
        <v>20026.29997142544</v>
      </c>
      <c r="F17" s="136">
        <f t="shared" si="6"/>
        <v>38750.890444708224</v>
      </c>
      <c r="G17" s="134">
        <f t="shared" si="1"/>
        <v>46501.068533649865</v>
      </c>
      <c r="H17" s="134">
        <f>'итого 25-28'!H21/10*3</f>
        <v>580.5</v>
      </c>
      <c r="I17" s="137">
        <f>H17*$E17/1000</f>
        <v>11625.267133412468</v>
      </c>
      <c r="J17" s="134">
        <f t="shared" si="2"/>
        <v>13950.32056009496</v>
      </c>
      <c r="K17" s="152">
        <f>'итого 25-28'!H21/10*4</f>
        <v>774</v>
      </c>
      <c r="L17" s="137">
        <f>K17*$E17/1000</f>
        <v>15500.35617788329</v>
      </c>
      <c r="M17" s="134">
        <f t="shared" si="3"/>
        <v>18600.427413459947</v>
      </c>
      <c r="N17" s="152">
        <f>'итого 25-28'!H21/10*2</f>
        <v>387</v>
      </c>
      <c r="O17" s="137">
        <f>N17*$E17/1000</f>
        <v>7750.178088941645</v>
      </c>
      <c r="P17" s="134">
        <f t="shared" si="4"/>
        <v>9300.2137067299736</v>
      </c>
      <c r="Q17" s="152">
        <f>'итого 25-28'!H21/10</f>
        <v>193.5</v>
      </c>
      <c r="R17" s="137">
        <f>Q17*$E17/1000</f>
        <v>3875.0890444708225</v>
      </c>
      <c r="S17" s="134">
        <f t="shared" si="5"/>
        <v>4650.1068533649868</v>
      </c>
    </row>
    <row r="18" spans="1:19" ht="25.5" x14ac:dyDescent="0.25">
      <c r="A18" s="131">
        <v>5</v>
      </c>
      <c r="B18" s="143" t="s">
        <v>82</v>
      </c>
      <c r="C18" s="141" t="s">
        <v>65</v>
      </c>
      <c r="D18" s="134">
        <f t="shared" si="0"/>
        <v>31610</v>
      </c>
      <c r="E18" s="149"/>
      <c r="F18" s="150">
        <f t="shared" si="6"/>
        <v>10827.035267076848</v>
      </c>
      <c r="G18" s="148">
        <f t="shared" si="1"/>
        <v>12992.442320492217</v>
      </c>
      <c r="H18" s="148">
        <f>SUM(H19:H21)</f>
        <v>9483</v>
      </c>
      <c r="I18" s="151">
        <f>SUM(I19:I21)</f>
        <v>3248.1105801230542</v>
      </c>
      <c r="J18" s="148">
        <f t="shared" si="2"/>
        <v>3897.7326961476647</v>
      </c>
      <c r="K18" s="148">
        <f>SUM(K19:K21)</f>
        <v>12644</v>
      </c>
      <c r="L18" s="151">
        <f>SUM(L19:L21)</f>
        <v>4330.8141068307395</v>
      </c>
      <c r="M18" s="148">
        <f t="shared" si="3"/>
        <v>5196.9769281968875</v>
      </c>
      <c r="N18" s="148">
        <f>SUM(N19:N21)</f>
        <v>6322</v>
      </c>
      <c r="O18" s="151">
        <f>SUM(O19:O21)</f>
        <v>2165.4070534153698</v>
      </c>
      <c r="P18" s="148">
        <f t="shared" si="4"/>
        <v>2598.4884640984437</v>
      </c>
      <c r="Q18" s="148">
        <f>SUM(Q19:Q21)</f>
        <v>3161</v>
      </c>
      <c r="R18" s="151">
        <f>SUM(R19:R21)</f>
        <v>1082.7035267076849</v>
      </c>
      <c r="S18" s="148">
        <f t="shared" si="5"/>
        <v>1299.2442320492219</v>
      </c>
    </row>
    <row r="19" spans="1:19" ht="25.5" x14ac:dyDescent="0.25">
      <c r="A19" s="138" t="s">
        <v>55</v>
      </c>
      <c r="B19" s="144" t="s">
        <v>32</v>
      </c>
      <c r="C19" s="141" t="s">
        <v>65</v>
      </c>
      <c r="D19" s="134">
        <f t="shared" si="0"/>
        <v>30960</v>
      </c>
      <c r="E19" s="154">
        <f>'итого 25-28'!I23</f>
        <v>318.63977845968446</v>
      </c>
      <c r="F19" s="136">
        <f t="shared" si="6"/>
        <v>9865.0875411118304</v>
      </c>
      <c r="G19" s="134">
        <f t="shared" si="1"/>
        <v>11838.105049334195</v>
      </c>
      <c r="H19" s="152">
        <f>'итого 25-28'!H23/10*3</f>
        <v>9288</v>
      </c>
      <c r="I19" s="137">
        <f>H19*$E19/1000</f>
        <v>2959.5262623335493</v>
      </c>
      <c r="J19" s="134">
        <f t="shared" si="2"/>
        <v>3551.4315148002593</v>
      </c>
      <c r="K19" s="155">
        <f>'итого 25-28'!H23/10*4</f>
        <v>12384</v>
      </c>
      <c r="L19" s="137">
        <f>K19*$E19/1000</f>
        <v>3946.0350164447323</v>
      </c>
      <c r="M19" s="134">
        <f t="shared" si="3"/>
        <v>4735.2420197336787</v>
      </c>
      <c r="N19" s="152">
        <f>'итого 25-28'!H23/10*2</f>
        <v>6192</v>
      </c>
      <c r="O19" s="137">
        <f>N19*$E19/1000</f>
        <v>1973.0175082223661</v>
      </c>
      <c r="P19" s="134">
        <f t="shared" si="4"/>
        <v>2367.6210098668394</v>
      </c>
      <c r="Q19" s="152">
        <f>'итого 25-28'!H23/10</f>
        <v>3096</v>
      </c>
      <c r="R19" s="137">
        <f>Q19*$E19/1000</f>
        <v>986.50875411118307</v>
      </c>
      <c r="S19" s="134">
        <f t="shared" si="5"/>
        <v>1183.8105049334197</v>
      </c>
    </row>
    <row r="20" spans="1:19" ht="51" x14ac:dyDescent="0.25">
      <c r="A20" s="138" t="s">
        <v>57</v>
      </c>
      <c r="B20" s="144" t="s">
        <v>83</v>
      </c>
      <c r="C20" s="141" t="s">
        <v>65</v>
      </c>
      <c r="D20" s="134">
        <f t="shared" si="0"/>
        <v>390</v>
      </c>
      <c r="E20" s="135">
        <f>'итого 25-28'!I24</f>
        <v>1479.9195784077187</v>
      </c>
      <c r="F20" s="136">
        <f t="shared" si="6"/>
        <v>577.16863557901024</v>
      </c>
      <c r="G20" s="134">
        <f t="shared" si="1"/>
        <v>692.60236269481231</v>
      </c>
      <c r="H20" s="134">
        <f>'итого 25-28'!H24/10*3</f>
        <v>117</v>
      </c>
      <c r="I20" s="137">
        <f>H20*$E20/1000</f>
        <v>173.15059067370308</v>
      </c>
      <c r="J20" s="134">
        <f t="shared" si="2"/>
        <v>207.78070880844368</v>
      </c>
      <c r="K20" s="155">
        <f>'итого 25-28'!H24/10*4</f>
        <v>156</v>
      </c>
      <c r="L20" s="137">
        <f>K20*$E20/1000</f>
        <v>230.86745423160411</v>
      </c>
      <c r="M20" s="134">
        <f t="shared" si="3"/>
        <v>277.0409450779249</v>
      </c>
      <c r="N20" s="134">
        <f>'итого 25-28'!H24/10*2</f>
        <v>78</v>
      </c>
      <c r="O20" s="137">
        <f>N20*$E20/1000</f>
        <v>115.43372711580206</v>
      </c>
      <c r="P20" s="134">
        <f t="shared" si="4"/>
        <v>138.52047253896245</v>
      </c>
      <c r="Q20" s="134">
        <f>'итого 25-28'!H24/10</f>
        <v>39</v>
      </c>
      <c r="R20" s="137">
        <f>Q20*$E20/1000</f>
        <v>57.716863557901029</v>
      </c>
      <c r="S20" s="134">
        <f t="shared" si="5"/>
        <v>69.260236269481226</v>
      </c>
    </row>
    <row r="21" spans="1:19" ht="51" x14ac:dyDescent="0.25">
      <c r="A21" s="138" t="s">
        <v>84</v>
      </c>
      <c r="B21" s="144" t="s">
        <v>99</v>
      </c>
      <c r="C21" s="141" t="s">
        <v>65</v>
      </c>
      <c r="D21" s="134">
        <f t="shared" si="0"/>
        <v>260</v>
      </c>
      <c r="E21" s="154">
        <f>'итого 25-28'!I25</f>
        <v>1479.9195784077187</v>
      </c>
      <c r="F21" s="136">
        <f t="shared" si="6"/>
        <v>384.77909038600689</v>
      </c>
      <c r="G21" s="134">
        <f t="shared" si="1"/>
        <v>461.73490846320823</v>
      </c>
      <c r="H21" s="152">
        <f>'итого 25-28'!H25/10*3</f>
        <v>78</v>
      </c>
      <c r="I21" s="137">
        <f>H21*$E21/1000</f>
        <v>115.43372711580206</v>
      </c>
      <c r="J21" s="134">
        <f t="shared" si="2"/>
        <v>138.52047253896245</v>
      </c>
      <c r="K21" s="152">
        <f>'итого 25-28'!H25/10*4</f>
        <v>104</v>
      </c>
      <c r="L21" s="137">
        <f>K21*$E21/1000</f>
        <v>153.91163615440274</v>
      </c>
      <c r="M21" s="134">
        <f t="shared" si="3"/>
        <v>184.6939633852833</v>
      </c>
      <c r="N21" s="152">
        <f>'итого 25-28'!H25/10*2</f>
        <v>52</v>
      </c>
      <c r="O21" s="137">
        <f>N21*$E21/1000</f>
        <v>76.955818077201371</v>
      </c>
      <c r="P21" s="134">
        <f t="shared" si="4"/>
        <v>92.346981692641648</v>
      </c>
      <c r="Q21" s="152">
        <f>'итого 25-28'!H25/10</f>
        <v>26</v>
      </c>
      <c r="R21" s="137">
        <f>Q21*$E21/1000</f>
        <v>38.477909038600686</v>
      </c>
      <c r="S21" s="134">
        <f t="shared" si="5"/>
        <v>46.173490846320824</v>
      </c>
    </row>
    <row r="22" spans="1:19" ht="25.5" x14ac:dyDescent="0.25">
      <c r="A22" s="131" t="s">
        <v>100</v>
      </c>
      <c r="B22" s="143" t="s">
        <v>86</v>
      </c>
      <c r="C22" s="141" t="s">
        <v>65</v>
      </c>
      <c r="D22" s="134">
        <f t="shared" si="0"/>
        <v>38723.000000000007</v>
      </c>
      <c r="E22" s="135"/>
      <c r="F22" s="136">
        <f>'итого 25-28'!J26</f>
        <v>476645.65134904627</v>
      </c>
      <c r="G22" s="134">
        <f t="shared" si="1"/>
        <v>571974.78161885554</v>
      </c>
      <c r="H22" s="134">
        <f>H14+H15</f>
        <v>11616.900000000001</v>
      </c>
      <c r="I22" s="134">
        <f t="shared" ref="I22:J22" si="7">I14+I15</f>
        <v>142993.69540471392</v>
      </c>
      <c r="J22" s="134">
        <f t="shared" si="7"/>
        <v>171592.43448565667</v>
      </c>
      <c r="K22" s="134">
        <f>K14+K15</f>
        <v>15489.200000000003</v>
      </c>
      <c r="L22" s="137">
        <f>'итого 25-28'!L26</f>
        <v>10079.000000000002</v>
      </c>
      <c r="M22" s="134">
        <f t="shared" si="3"/>
        <v>12094.800000000001</v>
      </c>
      <c r="N22" s="134">
        <f>N14+N15</f>
        <v>7744.6000000000013</v>
      </c>
      <c r="O22" s="137">
        <f>'итого 25-28'!O26</f>
        <v>152480.4966171807</v>
      </c>
      <c r="P22" s="134">
        <f t="shared" si="4"/>
        <v>182976.59594061683</v>
      </c>
      <c r="Q22" s="134">
        <f>Q14+Q15</f>
        <v>3872.3000000000006</v>
      </c>
      <c r="R22" s="137">
        <f>'итого 25-28'!R26</f>
        <v>132721.87714270898</v>
      </c>
      <c r="S22" s="134">
        <f t="shared" si="5"/>
        <v>159266.25257125078</v>
      </c>
    </row>
    <row r="23" spans="1:19" x14ac:dyDescent="0.25">
      <c r="A23" s="131" t="s">
        <v>101</v>
      </c>
      <c r="B23" s="143" t="s">
        <v>102</v>
      </c>
      <c r="C23" s="141" t="s">
        <v>65</v>
      </c>
      <c r="D23" s="134">
        <f>'итого 25-28'!D27</f>
        <v>0</v>
      </c>
      <c r="E23" s="135"/>
      <c r="F23" s="136">
        <f>F14+F15+F18</f>
        <v>487472.68661612319</v>
      </c>
      <c r="G23" s="134">
        <f t="shared" si="1"/>
        <v>584967.22393934778</v>
      </c>
      <c r="H23" s="134">
        <f>D23*0.2</f>
        <v>0</v>
      </c>
      <c r="I23" s="137">
        <f>I14+I15+I18</f>
        <v>146241.80598483697</v>
      </c>
      <c r="J23" s="134">
        <f t="shared" si="2"/>
        <v>175490.16718180437</v>
      </c>
      <c r="K23" s="134">
        <f>D23*0.4</f>
        <v>0</v>
      </c>
      <c r="L23" s="137">
        <f>L14+L15+L18</f>
        <v>194989.07464644927</v>
      </c>
      <c r="M23" s="134">
        <f t="shared" si="3"/>
        <v>233986.88957573913</v>
      </c>
      <c r="N23" s="134">
        <f>D23*0.3</f>
        <v>0</v>
      </c>
      <c r="O23" s="137">
        <f>O14+O15+O18</f>
        <v>97494.537323224635</v>
      </c>
      <c r="P23" s="134">
        <f t="shared" si="4"/>
        <v>116993.44478786956</v>
      </c>
      <c r="Q23" s="134">
        <f>D23*0.1</f>
        <v>0</v>
      </c>
      <c r="R23" s="137">
        <f>R14+R15+R18</f>
        <v>48747.268661612317</v>
      </c>
      <c r="S23" s="134">
        <f t="shared" si="5"/>
        <v>58496.722393934782</v>
      </c>
    </row>
    <row r="24" spans="1:19" x14ac:dyDescent="0.25">
      <c r="A24" s="145"/>
      <c r="B24" s="144"/>
      <c r="C24" s="141"/>
      <c r="D24" s="134">
        <f>'итого 25-28'!D28</f>
        <v>0</v>
      </c>
      <c r="E24" s="135"/>
      <c r="F24" s="136">
        <f>'итого 25-28'!F28</f>
        <v>0</v>
      </c>
      <c r="G24" s="134">
        <f t="shared" si="1"/>
        <v>0</v>
      </c>
      <c r="H24" s="134">
        <f>D24*0.2</f>
        <v>0</v>
      </c>
      <c r="I24" s="134">
        <f>ROUND(H24*E24/1000,5)</f>
        <v>0</v>
      </c>
      <c r="J24" s="134">
        <f t="shared" si="2"/>
        <v>0</v>
      </c>
      <c r="K24" s="134">
        <f>D24*0.4</f>
        <v>0</v>
      </c>
      <c r="L24" s="146">
        <f>ROUND(K24*E24/1000,5)</f>
        <v>0</v>
      </c>
      <c r="M24" s="146">
        <f t="shared" si="3"/>
        <v>0</v>
      </c>
      <c r="N24" s="134">
        <f>D24*0.3</f>
        <v>0</v>
      </c>
      <c r="O24" s="146">
        <f>ROUND(N24*E24/1000,5)</f>
        <v>0</v>
      </c>
      <c r="P24" s="146">
        <f t="shared" si="4"/>
        <v>0</v>
      </c>
      <c r="Q24" s="134">
        <f>D24*0.1</f>
        <v>0</v>
      </c>
      <c r="R24" s="146">
        <v>452.25954000000036</v>
      </c>
      <c r="S24" s="146">
        <f t="shared" si="5"/>
        <v>542.71144800000036</v>
      </c>
    </row>
  </sheetData>
  <mergeCells count="9">
    <mergeCell ref="H1:J1"/>
    <mergeCell ref="K1:M1"/>
    <mergeCell ref="N1:P1"/>
    <mergeCell ref="Q1:S1"/>
    <mergeCell ref="A1:A2"/>
    <mergeCell ref="B1:B2"/>
    <mergeCell ref="C1:C2"/>
    <mergeCell ref="D1:D2"/>
    <mergeCell ref="F1:G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Сценарий</vt:lpstr>
      <vt:lpstr>расч. ср.ст</vt:lpstr>
      <vt:lpstr> Кол-во ПУ</vt:lpstr>
      <vt:lpstr>итого 25-28</vt:lpstr>
      <vt:lpstr>2025 по квартально</vt:lpstr>
      <vt:lpstr>2026 по квартально</vt:lpstr>
      <vt:lpstr>Сценарий!Область_печати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Белковский Станислав Юрьевич</dc:creator>
  <cp:lastModifiedBy>Батманова Мария Николаевна</cp:lastModifiedBy>
  <cp:revision>14</cp:revision>
  <dcterms:created xsi:type="dcterms:W3CDTF">2020-02-17T16:21:34Z</dcterms:created>
  <dcterms:modified xsi:type="dcterms:W3CDTF">2025-04-07T07:26:24Z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