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4905" yWindow="0" windowWidth="25110" windowHeight="16440"/>
  </bookViews>
  <sheets>
    <sheet name="расчет2025" sheetId="3" r:id="rId1"/>
    <sheet name="автотранспорт и спец. техника " sheetId="1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3" l="1"/>
  <c r="D11" i="3"/>
  <c r="E9" i="3"/>
  <c r="E12" i="3"/>
  <c r="E11" i="3"/>
  <c r="C9" i="3"/>
  <c r="C7" i="3"/>
  <c r="D9" i="3" l="1"/>
  <c r="F9" i="3"/>
  <c r="E8" i="3"/>
  <c r="D8" i="3"/>
  <c r="F8" i="3" s="1"/>
  <c r="C8" i="3"/>
  <c r="E7" i="3" l="1"/>
  <c r="D7" i="3"/>
  <c r="F7" i="3" s="1"/>
  <c r="F13" i="3" s="1"/>
  <c r="F14" i="3" s="1"/>
  <c r="B21" i="1" l="1"/>
  <c r="B28" i="1"/>
  <c r="F15" i="1"/>
  <c r="M28" i="1" s="1"/>
  <c r="R28" i="1" s="1"/>
  <c r="C45" i="1"/>
  <c r="F45" i="1" s="1"/>
  <c r="M30" i="1" s="1"/>
  <c r="R30" i="1" s="1"/>
  <c r="E44" i="1" l="1"/>
  <c r="D44" i="1"/>
  <c r="C44" i="1"/>
  <c r="F44" i="1" l="1"/>
  <c r="M29" i="1" s="1"/>
  <c r="R29" i="1" s="1"/>
  <c r="E14" i="1"/>
  <c r="D14" i="1"/>
  <c r="C14" i="1"/>
  <c r="F14" i="1" s="1"/>
  <c r="M21" i="1" s="1"/>
  <c r="E10" i="1"/>
  <c r="D10" i="1"/>
  <c r="C10" i="1"/>
  <c r="R21" i="1" l="1"/>
  <c r="E11" i="1"/>
  <c r="E12" i="1"/>
  <c r="D11" i="1"/>
  <c r="E7" i="1"/>
  <c r="D7" i="1"/>
  <c r="E13" i="1" l="1"/>
  <c r="D13" i="1"/>
  <c r="C13" i="1"/>
  <c r="D12" i="1"/>
  <c r="C12" i="1"/>
  <c r="F12" i="1" s="1"/>
  <c r="Q26" i="1" s="1"/>
  <c r="C11" i="1"/>
  <c r="F11" i="1" s="1"/>
  <c r="D9" i="1"/>
  <c r="E9" i="1"/>
  <c r="C9" i="1"/>
  <c r="E8" i="1"/>
  <c r="D8" i="1"/>
  <c r="C8" i="1"/>
  <c r="C7" i="1"/>
  <c r="F7" i="1" s="1"/>
  <c r="F10" i="1" l="1"/>
  <c r="P25" i="1"/>
  <c r="O25" i="1"/>
  <c r="R26" i="1"/>
  <c r="Q31" i="1"/>
  <c r="Q32" i="1" s="1"/>
  <c r="F13" i="1"/>
  <c r="N27" i="1" s="1"/>
  <c r="F9" i="1"/>
  <c r="M23" i="1" s="1"/>
  <c r="R23" i="1" s="1"/>
  <c r="F8" i="1"/>
  <c r="M24" i="1" l="1"/>
  <c r="M31" i="1" s="1"/>
  <c r="M32" i="1" s="1"/>
  <c r="R25" i="1"/>
  <c r="R27" i="1"/>
  <c r="N31" i="1"/>
  <c r="N32" i="1" s="1"/>
  <c r="O22" i="1"/>
  <c r="P22" i="1"/>
  <c r="P31" i="1" s="1"/>
  <c r="P32" i="1" s="1"/>
  <c r="R24" i="1" l="1"/>
  <c r="R22" i="1"/>
  <c r="R31" i="1" s="1"/>
  <c r="O31" i="1"/>
  <c r="O32" i="1" s="1"/>
  <c r="R32" i="1" l="1"/>
</calcChain>
</file>

<file path=xl/sharedStrings.xml><?xml version="1.0" encoding="utf-8"?>
<sst xmlns="http://schemas.openxmlformats.org/spreadsheetml/2006/main" count="74" uniqueCount="44">
  <si>
    <t>Наименование</t>
  </si>
  <si>
    <t>№</t>
  </si>
  <si>
    <t>Лада Веста</t>
  </si>
  <si>
    <t xml:space="preserve">Лада Ларгус </t>
  </si>
  <si>
    <t>Соболь ГАЗ 22177</t>
  </si>
  <si>
    <t>Соболь ГАЗ 27527</t>
  </si>
  <si>
    <t>Вахтовка на базе Садко</t>
  </si>
  <si>
    <t>Автокран</t>
  </si>
  <si>
    <t>Передвижная ЭТЛ</t>
  </si>
  <si>
    <t>Коммерческое предложение 1</t>
  </si>
  <si>
    <t>Коммерческое предложение 2</t>
  </si>
  <si>
    <t>Коммерческое предложение 3</t>
  </si>
  <si>
    <t>ИПЦ Минэкономразвития</t>
  </si>
  <si>
    <t xml:space="preserve">Наименование </t>
  </si>
  <si>
    <t xml:space="preserve">№ </t>
  </si>
  <si>
    <t>Количество, шт.</t>
  </si>
  <si>
    <t>2023 год</t>
  </si>
  <si>
    <t>2024 год</t>
  </si>
  <si>
    <t>2025 год</t>
  </si>
  <si>
    <t>2026 год</t>
  </si>
  <si>
    <t>2027 год</t>
  </si>
  <si>
    <t>Расчет средней стоимости на основании коммерческих предложений</t>
  </si>
  <si>
    <t>Стоимость с учетом ИПЦ,  руб.</t>
  </si>
  <si>
    <t>Всего без НДС, руб.</t>
  </si>
  <si>
    <t>Всего с НДС, руб.</t>
  </si>
  <si>
    <t>Всего 2023-2027 гг.</t>
  </si>
  <si>
    <t xml:space="preserve">Средняя стоимость за единицу, без НДС руб. </t>
  </si>
  <si>
    <t>Расчет стоимости на 2023-2027 гг.</t>
  </si>
  <si>
    <t>Стоимость, без НДС руб. в ценах 2022 года</t>
  </si>
  <si>
    <t>Расчет стоимости по инвестиционному проекту М_017 " Приобретение автотранспорта, спецтехники и оборудования"</t>
  </si>
  <si>
    <t>Электрогенератор  2 шт.</t>
  </si>
  <si>
    <t>Стоимость, без НДС руб. в ценах 2023 года</t>
  </si>
  <si>
    <t xml:space="preserve">УАЗ Патриот </t>
  </si>
  <si>
    <t>Легковой прицеп ALASKA СТРЕЛА 1,6</t>
  </si>
  <si>
    <t>Аппарат для сварки п/п труб</t>
  </si>
  <si>
    <t xml:space="preserve">Электрогенератор  </t>
  </si>
  <si>
    <t>Передвижная мастерская на базе Газель Next</t>
  </si>
  <si>
    <t xml:space="preserve">Компрессор воздушный вертикальный и комплектующие </t>
  </si>
  <si>
    <t xml:space="preserve">Аппарат высокого давления </t>
  </si>
  <si>
    <t>ВСЕГО</t>
  </si>
  <si>
    <t xml:space="preserve">Средняя стоимость за единицу руб. </t>
  </si>
  <si>
    <t xml:space="preserve">Стоимость, без НДС руб. </t>
  </si>
  <si>
    <t>то же с НДС</t>
  </si>
  <si>
    <t>в т.ч.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</si>
</sst>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8" formatCode="#,##0\ _₽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justify" vertical="top"/>
    </xf>
    <xf numFmtId="164" fontId="1" fillId="0" borderId="3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justify" vertical="top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top"/>
    </xf>
    <xf numFmtId="164" fontId="2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top" wrapText="1"/>
    </xf>
    <xf numFmtId="164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justify" vertical="top"/>
    </xf>
    <xf numFmtId="164" fontId="2" fillId="0" borderId="0" xfId="0" applyNumberFormat="1" applyFont="1" applyBorder="1" applyAlignment="1">
      <alignment horizontal="justify" vertical="top"/>
    </xf>
    <xf numFmtId="0" fontId="3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4" fontId="1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164" fontId="2" fillId="0" borderId="1" xfId="0" applyNumberFormat="1" applyFont="1" applyBorder="1"/>
    <xf numFmtId="164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0" fontId="1" fillId="2" borderId="1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justify" vertical="top" wrapText="1"/>
    </xf>
    <xf numFmtId="164" fontId="1" fillId="2" borderId="0" xfId="0" applyNumberFormat="1" applyFont="1" applyFill="1" applyBorder="1" applyAlignment="1">
      <alignment horizontal="right" vertical="center"/>
    </xf>
    <xf numFmtId="4" fontId="1" fillId="0" borderId="0" xfId="0" applyNumberFormat="1" applyFont="1"/>
    <xf numFmtId="0" fontId="1" fillId="0" borderId="2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4" fontId="1" fillId="3" borderId="1" xfId="0" applyNumberFormat="1" applyFont="1" applyFill="1" applyBorder="1"/>
    <xf numFmtId="164" fontId="2" fillId="3" borderId="1" xfId="0" applyNumberFormat="1" applyFont="1" applyFill="1" applyBorder="1"/>
    <xf numFmtId="164" fontId="2" fillId="3" borderId="1" xfId="0" applyNumberFormat="1" applyFont="1" applyFill="1" applyBorder="1" applyAlignment="1">
      <alignment horizontal="center" vertical="center"/>
    </xf>
    <xf numFmtId="0" fontId="2" fillId="0" borderId="0" xfId="0" applyFont="1" applyAlignment="1"/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justify" vertical="top"/>
    </xf>
    <xf numFmtId="0" fontId="1" fillId="0" borderId="5" xfId="0" applyFont="1" applyBorder="1" applyAlignment="1">
      <alignment horizontal="justify" vertical="top"/>
    </xf>
    <xf numFmtId="164" fontId="1" fillId="0" borderId="1" xfId="0" applyNumberFormat="1" applyFont="1" applyBorder="1" applyAlignment="1">
      <alignment horizontal="center" vertical="top"/>
    </xf>
    <xf numFmtId="0" fontId="1" fillId="0" borderId="2" xfId="0" applyFont="1" applyBorder="1" applyAlignment="1"/>
    <xf numFmtId="0" fontId="4" fillId="0" borderId="3" xfId="0" applyFont="1" applyBorder="1" applyAlignment="1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164" fontId="5" fillId="0" borderId="3" xfId="1" applyNumberFormat="1" applyBorder="1" applyAlignment="1">
      <alignment horizontal="center" vertical="center"/>
    </xf>
    <xf numFmtId="164" fontId="5" fillId="0" borderId="1" xfId="1" applyNumberFormat="1" applyBorder="1" applyAlignment="1">
      <alignment horizontal="center" vertical="center"/>
    </xf>
    <xf numFmtId="168" fontId="1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justify"/>
    </xf>
    <xf numFmtId="164" fontId="7" fillId="0" borderId="3" xfId="1" applyNumberFormat="1" applyFont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/>
    </xf>
    <xf numFmtId="0" fontId="6" fillId="0" borderId="1" xfId="0" applyFont="1" applyBorder="1"/>
    <xf numFmtId="168" fontId="2" fillId="0" borderId="3" xfId="0" applyNumberFormat="1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&#1050;&#1055;\&#1052;&#1086;&#1081;&#1082;&#1072;\1.&#1052;_017_&#1050;&#1055;_&#1055;&#1086;&#1085;&#1086;&#1084;&#1072;&#1088;&#1077;&#1074;_2025.pdf" TargetMode="External"/><Relationship Id="rId3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&#1050;&#1055;\&#1043;&#1088;&#1091;&#1079;&#1086;&#1074;&#1086;&#1081;\3.&#1052;_017_&#1050;&#1055;_&#1040;&#1074;&#1090;&#1086;&#1089;&#1087;&#1077;&#1094;&#1094;&#1077;&#1085;&#1090;&#1088;_2025.pdf" TargetMode="External"/><Relationship Id="rId7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&#1050;&#1055;\&#1052;&#1086;&#1081;&#1082;&#1072;\4.&#1052;_017_&#1050;&#1055;_&#1050;&#1088;&#1080;&#1089;&#1090;&#1086;&#1092;&#1077;&#1088;_2025.pdf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&#1050;&#1055;\&#1043;&#1088;&#1091;&#1079;&#1086;&#1074;&#1086;&#1081;\1.&#1052;_017_&#1050;&#1055;_&#1058;&#1086;&#1084;&#1089;&#1082;&#1072;&#1074;&#1090;&#1086;&#1075;&#1072;&#1079;&#1089;&#1077;&#1088;&#1074;&#1080;&#1089;_2025.pdf" TargetMode="External"/><Relationship Id="rId1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&#1050;&#1055;\&#1043;&#1088;&#1091;&#1079;&#1086;&#1074;&#1086;&#1081;\2.&#1052;_017_&#1050;&#1055;_&#1057;&#1080;&#1073;&#1072;&#1074;&#1090;&#1086;&#1090;&#1088;&#1077;&#1081;&#1076;_2025.pdf" TargetMode="External"/><Relationship Id="rId6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&#1050;&#1055;\&#1050;&#1086;&#1084;&#1087;&#1088;&#1077;&#1089;&#1086;&#1088;\2.&#1052;_017_&#1055;&#1088;&#1086;&#1092;&#1080;&#1085;&#1089;&#1090;&#1088;&#1091;&#1084;&#1077;&#1085;&#1090;_2025.pdf" TargetMode="External"/><Relationship Id="rId11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&#1050;&#1055;\&#1052;&#1086;&#1081;&#1082;&#1072;\3.&#1052;_017_&#1050;&#1055;_&#1042;&#1089;&#1077;&#1048;&#1085;&#1089;&#1090;&#1088;&#1091;&#1084;&#1077;&#1085;&#1090;&#1099;_2025.pdf" TargetMode="External"/><Relationship Id="rId5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&#1050;&#1055;\&#1050;&#1086;&#1084;&#1087;&#1088;&#1077;&#1089;&#1086;&#1088;\1.&#1052;_017_&#1048;&#1085;&#1089;&#1090;&#1088;&#1091;&#1084;&#1077;&#1085;&#1090;_2025.pdf" TargetMode="External"/><Relationship Id="rId10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&#1050;&#1055;\&#1052;&#1086;&#1081;&#1082;&#1072;\2.&#1052;_017_&#1050;&#1055;_&#1042;&#1089;&#1077;&#1048;&#1085;&#1089;&#1090;&#1088;&#1091;&#1084;&#1077;&#1085;&#1090;&#1099;_2025.pdf" TargetMode="External"/><Relationship Id="rId4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&#1050;&#1055;\&#1050;&#1086;&#1084;&#1087;&#1088;&#1077;&#1089;&#1086;&#1088;\3.&#1052;_017_&#1042;&#1089;&#1077;&#1048;&#1085;&#1089;&#1090;&#1088;&#1091;&#1084;&#1077;&#1085;&#1090;&#1099;_2025.pdf" TargetMode="External"/><Relationship Id="rId9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&#1050;&#1055;\&#1052;&#1086;&#1081;&#1082;&#1072;\5.&#1052;_017_&#1050;&#1055;_&#1055;&#1086;&#1085;&#1086;&#1084;&#1072;&#1088;&#1077;&#1074;_2025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4"/>
  <sheetViews>
    <sheetView tabSelected="1" workbookViewId="0">
      <selection activeCell="D35" sqref="D35"/>
    </sheetView>
  </sheetViews>
  <sheetFormatPr defaultRowHeight="15" x14ac:dyDescent="0.25"/>
  <cols>
    <col min="2" max="2" width="17.7109375" customWidth="1"/>
    <col min="3" max="4" width="16.7109375" customWidth="1"/>
    <col min="5" max="5" width="18.140625" customWidth="1"/>
    <col min="6" max="6" width="17" customWidth="1"/>
  </cols>
  <sheetData>
    <row r="2" spans="1:7" s="3" customFormat="1" x14ac:dyDescent="0.25">
      <c r="A2" s="42" t="s">
        <v>29</v>
      </c>
      <c r="B2" s="42"/>
      <c r="C2" s="42"/>
      <c r="D2" s="42"/>
      <c r="E2" s="42"/>
      <c r="F2" s="42"/>
    </row>
    <row r="4" spans="1:7" x14ac:dyDescent="0.25">
      <c r="A4" s="1"/>
      <c r="B4" s="1"/>
      <c r="C4" s="3"/>
      <c r="D4" s="3"/>
      <c r="E4" s="3"/>
      <c r="F4" s="3"/>
      <c r="G4" s="3"/>
    </row>
    <row r="5" spans="1:7" x14ac:dyDescent="0.25">
      <c r="A5" s="44" t="s">
        <v>1</v>
      </c>
      <c r="B5" s="43" t="s">
        <v>0</v>
      </c>
      <c r="C5" s="58" t="s">
        <v>41</v>
      </c>
      <c r="D5" s="59"/>
      <c r="E5" s="60"/>
      <c r="F5" s="47" t="s">
        <v>40</v>
      </c>
      <c r="G5" s="3"/>
    </row>
    <row r="6" spans="1:7" ht="30.75" thickBot="1" x14ac:dyDescent="0.3">
      <c r="A6" s="45"/>
      <c r="B6" s="61"/>
      <c r="C6" s="4" t="s">
        <v>9</v>
      </c>
      <c r="D6" s="4" t="s">
        <v>10</v>
      </c>
      <c r="E6" s="4" t="s">
        <v>11</v>
      </c>
      <c r="F6" s="48"/>
      <c r="G6" s="3"/>
    </row>
    <row r="7" spans="1:7" ht="45" x14ac:dyDescent="0.25">
      <c r="A7" s="9">
        <v>1</v>
      </c>
      <c r="B7" s="65" t="s">
        <v>36</v>
      </c>
      <c r="C7" s="66">
        <f>5996000/1.2</f>
        <v>4996666.666666667</v>
      </c>
      <c r="D7" s="67">
        <f>5990500/1.2</f>
        <v>4992083.333333334</v>
      </c>
      <c r="E7" s="66">
        <f>5885500/1.2</f>
        <v>4904583.333333334</v>
      </c>
      <c r="F7" s="64">
        <f>(C7+D7+E7)/3</f>
        <v>4964444.444444445</v>
      </c>
      <c r="G7" s="3"/>
    </row>
    <row r="8" spans="1:7" ht="60" x14ac:dyDescent="0.25">
      <c r="A8" s="5">
        <v>2</v>
      </c>
      <c r="B8" s="65" t="s">
        <v>37</v>
      </c>
      <c r="C8" s="66">
        <f>201550/1.2</f>
        <v>167958.33333333334</v>
      </c>
      <c r="D8" s="67">
        <f>184640/1.2</f>
        <v>153866.66666666669</v>
      </c>
      <c r="E8" s="66">
        <f>218950/1.2</f>
        <v>182458.33333333334</v>
      </c>
      <c r="F8" s="64">
        <f>(C8+D8+E8)/3</f>
        <v>168094.44444444447</v>
      </c>
      <c r="G8" s="3"/>
    </row>
    <row r="9" spans="1:7" ht="30" x14ac:dyDescent="0.25">
      <c r="A9" s="5">
        <v>3</v>
      </c>
      <c r="B9" s="65" t="s">
        <v>38</v>
      </c>
      <c r="C9" s="62">
        <f>312000/1.2</f>
        <v>260000</v>
      </c>
      <c r="D9" s="7">
        <f>(D11+D12)</f>
        <v>247885.83333333337</v>
      </c>
      <c r="E9" s="7">
        <f>(E11+E12)</f>
        <v>273333.33333333337</v>
      </c>
      <c r="F9" s="64">
        <f>(C9+D9+E9)/3</f>
        <v>260406.38888888891</v>
      </c>
    </row>
    <row r="10" spans="1:7" x14ac:dyDescent="0.25">
      <c r="A10" s="5"/>
      <c r="B10" s="65" t="s">
        <v>43</v>
      </c>
      <c r="C10" s="62"/>
      <c r="D10" s="8"/>
      <c r="E10" s="7"/>
      <c r="F10" s="64"/>
    </row>
    <row r="11" spans="1:7" x14ac:dyDescent="0.25">
      <c r="A11" s="5"/>
      <c r="B11" s="65"/>
      <c r="C11" s="62"/>
      <c r="D11" s="63">
        <f>95063/1.2</f>
        <v>79219.166666666672</v>
      </c>
      <c r="E11" s="62">
        <f>152000/1.2</f>
        <v>126666.66666666667</v>
      </c>
      <c r="F11" s="64"/>
    </row>
    <row r="12" spans="1:7" x14ac:dyDescent="0.25">
      <c r="A12" s="5"/>
      <c r="B12" s="65"/>
      <c r="C12" s="62"/>
      <c r="D12" s="63">
        <f>202400/1.2</f>
        <v>168666.66666666669</v>
      </c>
      <c r="E12" s="62">
        <f>176000/1.2</f>
        <v>146666.66666666669</v>
      </c>
      <c r="F12" s="64"/>
    </row>
    <row r="13" spans="1:7" x14ac:dyDescent="0.25">
      <c r="A13" s="68"/>
      <c r="B13" s="68" t="s">
        <v>39</v>
      </c>
      <c r="C13" s="68"/>
      <c r="D13" s="68"/>
      <c r="E13" s="68"/>
      <c r="F13" s="69">
        <f>F9+F8+F7</f>
        <v>5392945.277777778</v>
      </c>
    </row>
    <row r="14" spans="1:7" x14ac:dyDescent="0.25">
      <c r="A14" s="68"/>
      <c r="B14" s="68" t="s">
        <v>42</v>
      </c>
      <c r="C14" s="68"/>
      <c r="D14" s="68"/>
      <c r="E14" s="68"/>
      <c r="F14" s="69">
        <f>F13*1.2</f>
        <v>6471534.333333333</v>
      </c>
    </row>
  </sheetData>
  <mergeCells count="2">
    <mergeCell ref="C5:E5"/>
    <mergeCell ref="F5:F6"/>
  </mergeCells>
  <hyperlinks>
    <hyperlink ref="C7" r:id="rId1" display="Материалы по обоснованию расчета\КП\Грузовой\2.М_017_КП_Сибавтотрейд_2025.pdf"/>
    <hyperlink ref="E7" r:id="rId2" display="Материалы по обоснованию расчета\КП\Грузовой\1.М_017_КП_Томскавтогазсервис_2025.pdf"/>
    <hyperlink ref="D7" r:id="rId3" display="Материалы по обоснованию расчета\КП\Грузовой\3.М_017_КП_Автоспеццентр_2025.pdf"/>
    <hyperlink ref="C8" r:id="rId4" display="Материалы по обоснованию расчета\КП\Компресор\3.М_017_ВсеИнструменты_2025.pdf"/>
    <hyperlink ref="D8" r:id="rId5" display="Материалы по обоснованию расчета\КП\Компресор\1.М_017_Инструмент_2025.pdf"/>
    <hyperlink ref="E8" r:id="rId6" display="Материалы по обоснованию расчета\КП\Компресор\2.М_017_Профинструмент_2025.pdf"/>
    <hyperlink ref="C9" r:id="rId7" display="Материалы по обоснованию расчета\КП\Мойка\4.М_017_КП_Кристофер_2025.pdf"/>
    <hyperlink ref="E11" r:id="rId8" display="Материалы по обоснованию расчета\КП\Мойка\1.М_017_КП_Пономарев_2025.pdf"/>
    <hyperlink ref="E12" r:id="rId9" display="Материалы по обоснованию расчета\КП\Мойка\5.М_017_КП_Пономарев_2025.pdf"/>
    <hyperlink ref="D11" r:id="rId10" display="Материалы по обоснованию расчета\КП\Мойка\2.М_017_КП_ВсеИнструменты_2025.pdf"/>
    <hyperlink ref="D12" r:id="rId11" display="Материалы по обоснованию расчета\КП\Мойка\3.М_017_КП_ВсеИнструменты_2025.pdf"/>
  </hyperlinks>
  <pageMargins left="0.7" right="0.7" top="0.75" bottom="0.75" header="0.3" footer="0.3"/>
  <pageSetup paperSize="9" scale="76" orientation="portrait" horizontalDpi="4294967295" verticalDpi="4294967295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45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E44" sqref="E44"/>
    </sheetView>
  </sheetViews>
  <sheetFormatPr defaultColWidth="17.140625" defaultRowHeight="15" x14ac:dyDescent="0.25"/>
  <cols>
    <col min="1" max="1" width="5.28515625" style="1" customWidth="1"/>
    <col min="2" max="2" width="31.7109375" style="3" customWidth="1"/>
    <col min="3" max="3" width="20" style="3" customWidth="1"/>
    <col min="4" max="4" width="16.28515625" style="3" customWidth="1"/>
    <col min="5" max="5" width="16.7109375" style="3" customWidth="1"/>
    <col min="6" max="6" width="14.85546875" style="3" customWidth="1"/>
    <col min="7" max="7" width="11.140625" style="3" customWidth="1"/>
    <col min="8" max="8" width="12.85546875" style="3" customWidth="1"/>
    <col min="9" max="9" width="18.42578125" style="3" customWidth="1"/>
    <col min="10" max="10" width="8.7109375" style="3" customWidth="1"/>
    <col min="11" max="11" width="9" style="3" customWidth="1"/>
    <col min="12" max="12" width="10.28515625" style="3" customWidth="1"/>
    <col min="13" max="13" width="16.5703125" style="3" customWidth="1"/>
    <col min="14" max="14" width="17" style="3" customWidth="1"/>
    <col min="15" max="15" width="16" style="3" customWidth="1"/>
    <col min="16" max="16" width="16.140625" style="3" customWidth="1"/>
    <col min="17" max="17" width="16.85546875" style="3" customWidth="1"/>
    <col min="18" max="16384" width="17.140625" style="3"/>
  </cols>
  <sheetData>
    <row r="2" spans="1:16" x14ac:dyDescent="0.25">
      <c r="B2" s="2" t="s">
        <v>29</v>
      </c>
    </row>
    <row r="3" spans="1:16" ht="41.25" customHeight="1" x14ac:dyDescent="0.25">
      <c r="A3" s="46" t="s">
        <v>21</v>
      </c>
      <c r="B3" s="46"/>
      <c r="C3" s="46"/>
      <c r="D3" s="46"/>
      <c r="E3" s="46"/>
      <c r="F3" s="46"/>
    </row>
    <row r="4" spans="1:16" ht="11.25" customHeight="1" x14ac:dyDescent="0.25"/>
    <row r="5" spans="1:16" ht="24.75" customHeight="1" x14ac:dyDescent="0.25">
      <c r="A5" s="56" t="s">
        <v>1</v>
      </c>
      <c r="B5" s="54" t="s">
        <v>0</v>
      </c>
      <c r="C5" s="53" t="s">
        <v>31</v>
      </c>
      <c r="D5" s="53"/>
      <c r="E5" s="53"/>
      <c r="F5" s="47" t="s">
        <v>26</v>
      </c>
    </row>
    <row r="6" spans="1:16" ht="51" customHeight="1" thickBot="1" x14ac:dyDescent="0.3">
      <c r="A6" s="57"/>
      <c r="B6" s="55"/>
      <c r="C6" s="4" t="s">
        <v>9</v>
      </c>
      <c r="D6" s="4" t="s">
        <v>10</v>
      </c>
      <c r="E6" s="4" t="s">
        <v>11</v>
      </c>
      <c r="F6" s="48"/>
    </row>
    <row r="7" spans="1:16" x14ac:dyDescent="0.25">
      <c r="A7" s="5">
        <v>1</v>
      </c>
      <c r="B7" s="6" t="s">
        <v>2</v>
      </c>
      <c r="C7" s="7">
        <f>1475900/1.2</f>
        <v>1229916.6666666667</v>
      </c>
      <c r="D7" s="8">
        <f>1497900/1.2</f>
        <v>1248250</v>
      </c>
      <c r="E7" s="7">
        <f>1475900/1.2</f>
        <v>1229916.6666666667</v>
      </c>
      <c r="F7" s="7">
        <f>(C7+D7+E7)/3</f>
        <v>1236027.777777778</v>
      </c>
    </row>
    <row r="8" spans="1:16" x14ac:dyDescent="0.25">
      <c r="A8" s="9">
        <v>2</v>
      </c>
      <c r="B8" s="10" t="s">
        <v>3</v>
      </c>
      <c r="C8" s="8">
        <f>1397900/1.2</f>
        <v>1164916.6666666667</v>
      </c>
      <c r="D8" s="8">
        <f>1097900/1.2</f>
        <v>914916.66666666674</v>
      </c>
      <c r="E8" s="8">
        <f>1297900/1.2</f>
        <v>1081583.3333333335</v>
      </c>
      <c r="F8" s="8">
        <f>(C8+D8+E8)/3</f>
        <v>1053805.5555555557</v>
      </c>
    </row>
    <row r="9" spans="1:16" x14ac:dyDescent="0.25">
      <c r="A9" s="9">
        <v>3</v>
      </c>
      <c r="B9" s="10" t="s">
        <v>4</v>
      </c>
      <c r="C9" s="8">
        <f>1696600/1.2</f>
        <v>1413833.3333333335</v>
      </c>
      <c r="D9" s="8">
        <f>1948500/1.2</f>
        <v>1623750</v>
      </c>
      <c r="E9" s="8">
        <f>1724500/1.2</f>
        <v>1437083.3333333335</v>
      </c>
      <c r="F9" s="8">
        <f t="shared" ref="F9:F13" si="0">(C9+D9+E9)/3</f>
        <v>1491555.5555555557</v>
      </c>
    </row>
    <row r="10" spans="1:16" x14ac:dyDescent="0.25">
      <c r="A10" s="9">
        <v>4</v>
      </c>
      <c r="B10" s="29" t="s">
        <v>5</v>
      </c>
      <c r="C10" s="30">
        <f>1827000/1.2</f>
        <v>1522500</v>
      </c>
      <c r="D10" s="30">
        <f>2029000/1.2</f>
        <v>1690833.3333333335</v>
      </c>
      <c r="E10" s="30">
        <f>1985000/1.2</f>
        <v>1654166.6666666667</v>
      </c>
      <c r="F10" s="30">
        <f>(C10+D10+E10)/3</f>
        <v>1622500</v>
      </c>
      <c r="H10" s="34"/>
      <c r="I10" s="34"/>
    </row>
    <row r="11" spans="1:16" s="2" customFormat="1" ht="15.75" customHeight="1" x14ac:dyDescent="0.2">
      <c r="A11" s="9">
        <v>5</v>
      </c>
      <c r="B11" s="12" t="s">
        <v>6</v>
      </c>
      <c r="C11" s="11">
        <f>4900000/1.2</f>
        <v>4083333.3333333335</v>
      </c>
      <c r="D11" s="11">
        <f>5120000/1.2</f>
        <v>4266666.666666667</v>
      </c>
      <c r="E11" s="11">
        <f>4950000/1.2</f>
        <v>4125000</v>
      </c>
      <c r="F11" s="11">
        <f>(C11+D11+E11)/3</f>
        <v>4158333.3333333335</v>
      </c>
    </row>
    <row r="12" spans="1:16" x14ac:dyDescent="0.25">
      <c r="A12" s="9">
        <v>6</v>
      </c>
      <c r="B12" s="10" t="s">
        <v>7</v>
      </c>
      <c r="C12" s="11">
        <f>11450000/1.2</f>
        <v>9541666.6666666679</v>
      </c>
      <c r="D12" s="11">
        <f>12200000/1.2</f>
        <v>10166666.666666668</v>
      </c>
      <c r="E12" s="11">
        <f>9850000/1.2</f>
        <v>8208333.333333334</v>
      </c>
      <c r="F12" s="11">
        <f>(C12+D12+E12)/3</f>
        <v>9305555.5555555578</v>
      </c>
    </row>
    <row r="13" spans="1:16" ht="15" customHeight="1" x14ac:dyDescent="0.25">
      <c r="A13" s="9">
        <v>7</v>
      </c>
      <c r="B13" s="10" t="s">
        <v>8</v>
      </c>
      <c r="C13" s="11">
        <f>16037055/1.2</f>
        <v>13364212.5</v>
      </c>
      <c r="D13" s="11">
        <f>17860200/1.2</f>
        <v>14883500</v>
      </c>
      <c r="E13" s="11">
        <f>18105000/1.2</f>
        <v>15087500</v>
      </c>
      <c r="F13" s="11">
        <f t="shared" si="0"/>
        <v>14445070.833333334</v>
      </c>
    </row>
    <row r="14" spans="1:16" x14ac:dyDescent="0.25">
      <c r="A14" s="31"/>
      <c r="B14" s="32" t="s">
        <v>32</v>
      </c>
      <c r="C14" s="33">
        <f>2159000/1.2</f>
        <v>1799166.6666666667</v>
      </c>
      <c r="D14" s="30">
        <f>2160000/1.2</f>
        <v>1800000</v>
      </c>
      <c r="E14" s="30">
        <f>2159000/1.2</f>
        <v>1799166.6666666667</v>
      </c>
      <c r="F14" s="30">
        <f t="shared" ref="F14" si="1">(C14+D14+E14)/3</f>
        <v>1799444.4444444447</v>
      </c>
    </row>
    <row r="15" spans="1:16" ht="30" x14ac:dyDescent="0.25">
      <c r="A15" s="13">
        <v>8</v>
      </c>
      <c r="B15" s="14" t="s">
        <v>33</v>
      </c>
      <c r="C15" s="17">
        <v>140000</v>
      </c>
      <c r="D15" s="17">
        <v>145000</v>
      </c>
      <c r="E15" s="17">
        <v>152000</v>
      </c>
      <c r="F15" s="17">
        <f>(C15+D15+E15)/3</f>
        <v>145666.66666666666</v>
      </c>
    </row>
    <row r="16" spans="1:16" s="2" customFormat="1" ht="2.25" customHeight="1" x14ac:dyDescent="0.2">
      <c r="A16" s="13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8" ht="27" customHeight="1" x14ac:dyDescent="0.25">
      <c r="A17" s="52" t="s">
        <v>27</v>
      </c>
      <c r="B17" s="52"/>
      <c r="C17" s="52"/>
      <c r="D17" s="52"/>
      <c r="E17" s="52"/>
      <c r="F17" s="52"/>
      <c r="G17" s="17"/>
      <c r="H17" s="17"/>
      <c r="I17" s="17"/>
      <c r="J17" s="17"/>
      <c r="K17" s="17"/>
      <c r="L17" s="17"/>
      <c r="M17" s="17"/>
      <c r="N17" s="17"/>
      <c r="O17" s="17"/>
      <c r="P17" s="17"/>
    </row>
    <row r="18" spans="1:18" x14ac:dyDescent="0.25">
      <c r="A18" s="18"/>
      <c r="B18" s="19"/>
      <c r="C18" s="20"/>
      <c r="D18" s="20"/>
      <c r="E18" s="20"/>
      <c r="F18" s="20"/>
      <c r="G18" s="15"/>
      <c r="H18" s="15"/>
      <c r="I18" s="15"/>
      <c r="J18" s="15"/>
      <c r="K18" s="15"/>
      <c r="L18" s="15"/>
      <c r="M18" s="15"/>
      <c r="N18" s="15"/>
      <c r="O18" s="15"/>
      <c r="P18" s="15"/>
    </row>
    <row r="19" spans="1:18" x14ac:dyDescent="0.25">
      <c r="A19" s="9"/>
      <c r="B19" s="12"/>
      <c r="C19" s="49" t="s">
        <v>15</v>
      </c>
      <c r="D19" s="49"/>
      <c r="E19" s="49"/>
      <c r="F19" s="49"/>
      <c r="G19" s="49"/>
      <c r="H19" s="53" t="s">
        <v>12</v>
      </c>
      <c r="I19" s="53"/>
      <c r="J19" s="53"/>
      <c r="K19" s="53"/>
      <c r="L19" s="53"/>
      <c r="M19" s="53" t="s">
        <v>22</v>
      </c>
      <c r="N19" s="53"/>
      <c r="O19" s="53"/>
      <c r="P19" s="53"/>
      <c r="Q19" s="53"/>
      <c r="R19" s="50" t="s">
        <v>25</v>
      </c>
    </row>
    <row r="20" spans="1:18" ht="16.5" thickBot="1" x14ac:dyDescent="0.3">
      <c r="A20" s="21" t="s">
        <v>14</v>
      </c>
      <c r="B20" s="21" t="s">
        <v>13</v>
      </c>
      <c r="C20" s="21" t="s">
        <v>16</v>
      </c>
      <c r="D20" s="21" t="s">
        <v>17</v>
      </c>
      <c r="E20" s="21" t="s">
        <v>18</v>
      </c>
      <c r="F20" s="21" t="s">
        <v>19</v>
      </c>
      <c r="G20" s="21" t="s">
        <v>20</v>
      </c>
      <c r="H20" s="22" t="s">
        <v>16</v>
      </c>
      <c r="I20" s="22" t="s">
        <v>17</v>
      </c>
      <c r="J20" s="22" t="s">
        <v>18</v>
      </c>
      <c r="K20" s="22" t="s">
        <v>19</v>
      </c>
      <c r="L20" s="22" t="s">
        <v>20</v>
      </c>
      <c r="M20" s="22" t="s">
        <v>16</v>
      </c>
      <c r="N20" s="22" t="s">
        <v>17</v>
      </c>
      <c r="O20" s="22" t="s">
        <v>18</v>
      </c>
      <c r="P20" s="22" t="s">
        <v>19</v>
      </c>
      <c r="Q20" s="22" t="s">
        <v>20</v>
      </c>
      <c r="R20" s="51"/>
    </row>
    <row r="21" spans="1:18" x14ac:dyDescent="0.25">
      <c r="A21" s="9">
        <v>1</v>
      </c>
      <c r="B21" s="12" t="str">
        <f>B14</f>
        <v xml:space="preserve">УАЗ Патриот </v>
      </c>
      <c r="C21" s="39">
        <v>1</v>
      </c>
      <c r="D21" s="23"/>
      <c r="E21" s="23"/>
      <c r="F21" s="23"/>
      <c r="G21" s="23"/>
      <c r="H21" s="7">
        <v>1.04</v>
      </c>
      <c r="I21" s="7"/>
      <c r="J21" s="7"/>
      <c r="K21" s="7"/>
      <c r="L21" s="7"/>
      <c r="M21" s="7">
        <f>F14</f>
        <v>1799444.4444444447</v>
      </c>
      <c r="N21" s="7"/>
      <c r="O21" s="7"/>
      <c r="P21" s="7"/>
      <c r="Q21" s="7"/>
      <c r="R21" s="23">
        <f>SUM(M21:Q21)</f>
        <v>1799444.4444444447</v>
      </c>
    </row>
    <row r="22" spans="1:18" x14ac:dyDescent="0.25">
      <c r="A22" s="9">
        <v>2</v>
      </c>
      <c r="B22" s="10" t="s">
        <v>3</v>
      </c>
      <c r="C22" s="39"/>
      <c r="D22" s="23"/>
      <c r="E22" s="23">
        <v>1</v>
      </c>
      <c r="F22" s="23">
        <v>1</v>
      </c>
      <c r="G22" s="23"/>
      <c r="H22" s="8">
        <v>1.04</v>
      </c>
      <c r="I22" s="8">
        <v>1.04</v>
      </c>
      <c r="J22" s="8">
        <v>1.04</v>
      </c>
      <c r="K22" s="8">
        <v>1.04</v>
      </c>
      <c r="L22" s="8"/>
      <c r="M22" s="8"/>
      <c r="N22" s="8"/>
      <c r="O22" s="8">
        <f>F8*H22*I22*J22*E22</f>
        <v>1185387.9324444449</v>
      </c>
      <c r="P22" s="8">
        <f>F8*H22*I22*J22*K22*F22</f>
        <v>1232803.4497422227</v>
      </c>
      <c r="Q22" s="8"/>
      <c r="R22" s="23">
        <f t="shared" ref="R22:R30" si="2">SUM(M22:Q22)</f>
        <v>2418191.3821866675</v>
      </c>
    </row>
    <row r="23" spans="1:18" x14ac:dyDescent="0.25">
      <c r="A23" s="9">
        <v>3</v>
      </c>
      <c r="B23" s="10" t="s">
        <v>4</v>
      </c>
      <c r="C23" s="39">
        <v>1</v>
      </c>
      <c r="D23" s="23"/>
      <c r="E23" s="23"/>
      <c r="F23" s="23"/>
      <c r="G23" s="23"/>
      <c r="H23" s="8">
        <v>1.04</v>
      </c>
      <c r="I23" s="8"/>
      <c r="J23" s="8"/>
      <c r="K23" s="8"/>
      <c r="L23" s="8"/>
      <c r="M23" s="8">
        <f>F9*H23*C23</f>
        <v>1551217.777777778</v>
      </c>
      <c r="N23" s="8"/>
      <c r="O23" s="8"/>
      <c r="P23" s="8"/>
      <c r="Q23" s="8"/>
      <c r="R23" s="23">
        <f t="shared" si="2"/>
        <v>1551217.777777778</v>
      </c>
    </row>
    <row r="24" spans="1:18" x14ac:dyDescent="0.25">
      <c r="A24" s="9">
        <v>4</v>
      </c>
      <c r="B24" s="10" t="s">
        <v>5</v>
      </c>
      <c r="C24" s="39">
        <v>1</v>
      </c>
      <c r="D24" s="23"/>
      <c r="E24" s="23"/>
      <c r="F24" s="23"/>
      <c r="G24" s="23"/>
      <c r="H24" s="8">
        <v>1.04</v>
      </c>
      <c r="I24" s="8"/>
      <c r="J24" s="8"/>
      <c r="K24" s="8"/>
      <c r="L24" s="8"/>
      <c r="M24" s="8">
        <f>F10</f>
        <v>1622500</v>
      </c>
      <c r="N24" s="8"/>
      <c r="O24" s="8"/>
      <c r="P24" s="8"/>
      <c r="Q24" s="8"/>
      <c r="R24" s="23">
        <f t="shared" si="2"/>
        <v>1622500</v>
      </c>
    </row>
    <row r="25" spans="1:18" x14ac:dyDescent="0.25">
      <c r="A25" s="9">
        <v>5</v>
      </c>
      <c r="B25" s="12" t="s">
        <v>6</v>
      </c>
      <c r="C25" s="23"/>
      <c r="D25" s="23"/>
      <c r="E25" s="23">
        <v>1</v>
      </c>
      <c r="F25" s="23">
        <v>1</v>
      </c>
      <c r="G25" s="23"/>
      <c r="H25" s="8">
        <v>1.04</v>
      </c>
      <c r="I25" s="8">
        <v>1.04</v>
      </c>
      <c r="J25" s="8">
        <v>1.04</v>
      </c>
      <c r="K25" s="8">
        <v>1.04</v>
      </c>
      <c r="L25" s="8"/>
      <c r="M25" s="8"/>
      <c r="N25" s="8"/>
      <c r="O25" s="8">
        <f>F11*H25*I25*J25*E25</f>
        <v>4677559.4666666677</v>
      </c>
      <c r="P25" s="8">
        <f>F11*H25*I25*J25*K25*F25</f>
        <v>4864661.845333335</v>
      </c>
      <c r="Q25" s="8"/>
      <c r="R25" s="23">
        <f t="shared" si="2"/>
        <v>9542221.3120000027</v>
      </c>
    </row>
    <row r="26" spans="1:18" x14ac:dyDescent="0.25">
      <c r="A26" s="9">
        <v>6</v>
      </c>
      <c r="B26" s="10" t="s">
        <v>7</v>
      </c>
      <c r="C26" s="23"/>
      <c r="D26" s="23"/>
      <c r="E26" s="23"/>
      <c r="F26" s="23"/>
      <c r="G26" s="23">
        <v>1</v>
      </c>
      <c r="H26" s="8">
        <v>1.04</v>
      </c>
      <c r="I26" s="8">
        <v>1.04</v>
      </c>
      <c r="J26" s="8">
        <v>1.04</v>
      </c>
      <c r="K26" s="8">
        <v>1.04</v>
      </c>
      <c r="L26" s="8">
        <v>1.04</v>
      </c>
      <c r="M26" s="8"/>
      <c r="N26" s="8"/>
      <c r="O26" s="8"/>
      <c r="P26" s="8"/>
      <c r="Q26" s="8">
        <f>F12*H26*I26*J26*K26*L26*G26</f>
        <v>11321631.175111115</v>
      </c>
      <c r="R26" s="23">
        <f t="shared" si="2"/>
        <v>11321631.175111115</v>
      </c>
    </row>
    <row r="27" spans="1:18" x14ac:dyDescent="0.25">
      <c r="A27" s="9">
        <v>7</v>
      </c>
      <c r="B27" s="10" t="s">
        <v>8</v>
      </c>
      <c r="C27" s="23"/>
      <c r="D27" s="23">
        <v>1</v>
      </c>
      <c r="E27" s="23"/>
      <c r="F27" s="23"/>
      <c r="G27" s="23"/>
      <c r="H27" s="8">
        <v>1.04</v>
      </c>
      <c r="I27" s="8">
        <v>1.04</v>
      </c>
      <c r="J27" s="8"/>
      <c r="K27" s="8"/>
      <c r="L27" s="8"/>
      <c r="M27" s="8"/>
      <c r="N27" s="8">
        <f>F13*H27*I27*D27</f>
        <v>15623788.613333335</v>
      </c>
      <c r="O27" s="8"/>
      <c r="P27" s="8"/>
      <c r="Q27" s="8"/>
      <c r="R27" s="23">
        <f t="shared" si="2"/>
        <v>15623788.613333335</v>
      </c>
    </row>
    <row r="28" spans="1:18" ht="30" x14ac:dyDescent="0.25">
      <c r="A28" s="9">
        <v>8</v>
      </c>
      <c r="B28" s="10" t="str">
        <f>B15</f>
        <v>Легковой прицеп ALASKA СТРЕЛА 1,6</v>
      </c>
      <c r="C28" s="23">
        <v>1</v>
      </c>
      <c r="D28" s="23"/>
      <c r="E28" s="23"/>
      <c r="F28" s="23"/>
      <c r="G28" s="23"/>
      <c r="H28" s="8"/>
      <c r="I28" s="8"/>
      <c r="J28" s="8"/>
      <c r="K28" s="8"/>
      <c r="L28" s="8"/>
      <c r="M28" s="8">
        <f>F15</f>
        <v>145666.66666666666</v>
      </c>
      <c r="N28" s="8"/>
      <c r="O28" s="8"/>
      <c r="P28" s="8"/>
      <c r="Q28" s="8"/>
      <c r="R28" s="23">
        <f t="shared" si="2"/>
        <v>145666.66666666666</v>
      </c>
    </row>
    <row r="29" spans="1:18" x14ac:dyDescent="0.25">
      <c r="A29" s="9"/>
      <c r="B29" s="6" t="s">
        <v>35</v>
      </c>
      <c r="C29" s="23">
        <v>2</v>
      </c>
      <c r="D29" s="23"/>
      <c r="E29" s="23"/>
      <c r="F29" s="23"/>
      <c r="G29" s="23"/>
      <c r="H29" s="8"/>
      <c r="I29" s="8"/>
      <c r="J29" s="8"/>
      <c r="K29" s="8"/>
      <c r="L29" s="8"/>
      <c r="M29" s="8">
        <f>F44</f>
        <v>286371.44444444444</v>
      </c>
      <c r="N29" s="8"/>
      <c r="O29" s="8"/>
      <c r="P29" s="8"/>
      <c r="Q29" s="8"/>
      <c r="R29" s="23">
        <f t="shared" si="2"/>
        <v>286371.44444444444</v>
      </c>
    </row>
    <row r="30" spans="1:18" x14ac:dyDescent="0.25">
      <c r="A30" s="9"/>
      <c r="B30" s="10" t="s">
        <v>34</v>
      </c>
      <c r="C30" s="23">
        <v>1</v>
      </c>
      <c r="D30" s="23"/>
      <c r="E30" s="23"/>
      <c r="F30" s="23"/>
      <c r="G30" s="23"/>
      <c r="H30" s="8"/>
      <c r="I30" s="8"/>
      <c r="J30" s="8"/>
      <c r="K30" s="8"/>
      <c r="L30" s="8"/>
      <c r="M30" s="8">
        <f>F45</f>
        <v>136604.4</v>
      </c>
      <c r="N30" s="8"/>
      <c r="O30" s="8"/>
      <c r="P30" s="8"/>
      <c r="Q30" s="8"/>
      <c r="R30" s="23">
        <f t="shared" si="2"/>
        <v>136604.4</v>
      </c>
    </row>
    <row r="31" spans="1:18" x14ac:dyDescent="0.25">
      <c r="A31" s="24"/>
      <c r="B31" s="25" t="s">
        <v>23</v>
      </c>
      <c r="C31" s="26"/>
      <c r="D31" s="26"/>
      <c r="E31" s="26"/>
      <c r="F31" s="26"/>
      <c r="G31" s="26"/>
      <c r="H31" s="27"/>
      <c r="I31" s="27"/>
      <c r="J31" s="27"/>
      <c r="K31" s="27"/>
      <c r="L31" s="27"/>
      <c r="M31" s="27">
        <f>M21+M24+M28+M29+M30</f>
        <v>3990586.9555555559</v>
      </c>
      <c r="N31" s="27">
        <f>SUM(N21:N27)</f>
        <v>15623788.613333335</v>
      </c>
      <c r="O31" s="27">
        <f>SUM(O21:O27)</f>
        <v>5862947.3991111126</v>
      </c>
      <c r="P31" s="27">
        <f>SUM(P21:P27)</f>
        <v>6097465.2950755581</v>
      </c>
      <c r="Q31" s="27">
        <f>SUM(Q21:Q27)</f>
        <v>11321631.175111115</v>
      </c>
      <c r="R31" s="27">
        <f>R21+R22+R24+R25+R26+R27+R28+R29+R30</f>
        <v>42896419.438186675</v>
      </c>
    </row>
    <row r="32" spans="1:18" x14ac:dyDescent="0.25">
      <c r="A32" s="24"/>
      <c r="B32" s="25" t="s">
        <v>24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40">
        <f>M31*1.02</f>
        <v>4070398.6946666669</v>
      </c>
      <c r="N32" s="40">
        <f t="shared" ref="N32:R32" si="3">N31*1.02</f>
        <v>15936264.385600002</v>
      </c>
      <c r="O32" s="40">
        <f t="shared" si="3"/>
        <v>5980206.3470933354</v>
      </c>
      <c r="P32" s="40">
        <f t="shared" si="3"/>
        <v>6219414.6009770697</v>
      </c>
      <c r="Q32" s="41">
        <f t="shared" si="3"/>
        <v>11548063.798613338</v>
      </c>
      <c r="R32" s="41">
        <f t="shared" si="3"/>
        <v>43754347.826950409</v>
      </c>
    </row>
    <row r="33" spans="1:18" x14ac:dyDescent="0.25"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</row>
    <row r="34" spans="1:18" x14ac:dyDescent="0.25"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>
        <v>4343675.5555555597</v>
      </c>
      <c r="N34" s="28">
        <v>15623788.6133333</v>
      </c>
      <c r="O34" s="28">
        <v>5862947.3991111098</v>
      </c>
      <c r="P34" s="28">
        <v>6097465.29507556</v>
      </c>
      <c r="Q34" s="3">
        <v>11321631.1751111</v>
      </c>
      <c r="R34" s="3">
        <v>43249508.038186677</v>
      </c>
    </row>
    <row r="35" spans="1:18" ht="25.5" hidden="1" customHeight="1" x14ac:dyDescent="0.25"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</row>
    <row r="36" spans="1:18" hidden="1" x14ac:dyDescent="0.25"/>
    <row r="37" spans="1:18" hidden="1" x14ac:dyDescent="0.25"/>
    <row r="38" spans="1:18" hidden="1" x14ac:dyDescent="0.25"/>
    <row r="39" spans="1:18" x14ac:dyDescent="0.25">
      <c r="B39" s="1"/>
      <c r="C39" s="2"/>
    </row>
    <row r="40" spans="1:18" x14ac:dyDescent="0.25">
      <c r="B40" s="46" t="s">
        <v>21</v>
      </c>
      <c r="C40" s="46"/>
      <c r="D40" s="46"/>
      <c r="E40" s="46"/>
      <c r="F40" s="46"/>
      <c r="G40" s="46"/>
    </row>
    <row r="41" spans="1:18" x14ac:dyDescent="0.25">
      <c r="B41" s="1"/>
    </row>
    <row r="42" spans="1:18" ht="15" customHeight="1" x14ac:dyDescent="0.25">
      <c r="A42" s="37" t="s">
        <v>1</v>
      </c>
      <c r="B42" s="35" t="s">
        <v>0</v>
      </c>
      <c r="C42" s="58" t="s">
        <v>28</v>
      </c>
      <c r="D42" s="59"/>
      <c r="E42" s="60"/>
      <c r="F42" s="47" t="s">
        <v>26</v>
      </c>
    </row>
    <row r="43" spans="1:18" ht="30.75" thickBot="1" x14ac:dyDescent="0.3">
      <c r="A43" s="38"/>
      <c r="B43" s="36"/>
      <c r="C43" s="4" t="s">
        <v>9</v>
      </c>
      <c r="D43" s="4" t="s">
        <v>10</v>
      </c>
      <c r="E43" s="4" t="s">
        <v>11</v>
      </c>
      <c r="F43" s="48"/>
    </row>
    <row r="44" spans="1:18" x14ac:dyDescent="0.25">
      <c r="A44" s="5">
        <v>1</v>
      </c>
      <c r="B44" s="6" t="s">
        <v>30</v>
      </c>
      <c r="C44" s="7">
        <f>299980/1.2</f>
        <v>249983.33333333334</v>
      </c>
      <c r="D44" s="8">
        <f>308000</f>
        <v>308000</v>
      </c>
      <c r="E44" s="7">
        <f>301131</f>
        <v>301131</v>
      </c>
      <c r="F44" s="7">
        <f>(C44+D44+E44)/3</f>
        <v>286371.44444444444</v>
      </c>
    </row>
    <row r="45" spans="1:18" x14ac:dyDescent="0.25">
      <c r="A45" s="9">
        <v>2</v>
      </c>
      <c r="B45" s="10" t="s">
        <v>34</v>
      </c>
      <c r="C45" s="8">
        <f>134400/1.2</f>
        <v>112000</v>
      </c>
      <c r="D45" s="8">
        <v>149923.20000000001</v>
      </c>
      <c r="E45" s="8">
        <v>147890</v>
      </c>
      <c r="F45" s="8">
        <f>(C45+D45+E45)/3</f>
        <v>136604.4</v>
      </c>
    </row>
  </sheetData>
  <mergeCells count="13">
    <mergeCell ref="B40:G40"/>
    <mergeCell ref="F42:F43"/>
    <mergeCell ref="C19:G19"/>
    <mergeCell ref="R19:R20"/>
    <mergeCell ref="A3:F3"/>
    <mergeCell ref="A17:F17"/>
    <mergeCell ref="M19:Q19"/>
    <mergeCell ref="B5:B6"/>
    <mergeCell ref="A5:A6"/>
    <mergeCell ref="C5:E5"/>
    <mergeCell ref="F5:F6"/>
    <mergeCell ref="H19:L19"/>
    <mergeCell ref="C42:E42"/>
  </mergeCells>
  <pageMargins left="0.31496062992125984" right="0.31496062992125984" top="0.74803149606299213" bottom="0.74803149606299213" header="0.31496062992125984" footer="0.31496062992125984"/>
  <pageSetup paperSize="9" scale="51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расчет2025</vt:lpstr>
      <vt:lpstr>автотранспорт и спец. техника 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pto1</dc:creator>
  <cp:lastModifiedBy>Максимова О М.</cp:lastModifiedBy>
  <cp:lastPrinted>2025-02-11T02:04:46Z</cp:lastPrinted>
  <dcterms:created xsi:type="dcterms:W3CDTF">2022-02-22T02:24:35Z</dcterms:created>
  <dcterms:modified xsi:type="dcterms:W3CDTF">2025-04-17T10:20:37Z</dcterms:modified>
</cp:coreProperties>
</file>