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20" windowWidth="28845" windowHeight="15840"/>
  </bookViews>
  <sheets>
    <sheet name="Комп. техника" sheetId="3" r:id="rId1"/>
    <sheet name="Лист1" sheetId="4" r:id="rId2"/>
  </sheets>
  <definedNames>
    <definedName name="_xlnm.Print_Area" localSheetId="0">'Комп. техника'!$A$1:$M$125</definedName>
    <definedName name="_xlnm.Print_Area" localSheetId="1">Лист1!$A$1:$J$53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9" i="3" l="1"/>
  <c r="I119" i="3"/>
  <c r="I109" i="3"/>
  <c r="I101" i="3"/>
  <c r="J101" i="3"/>
  <c r="J117" i="3"/>
  <c r="J115" i="3" l="1"/>
  <c r="I115" i="3"/>
  <c r="I116" i="3"/>
  <c r="I118" i="3" l="1"/>
  <c r="J109" i="3"/>
  <c r="J116" i="3" s="1"/>
  <c r="J118" i="3" s="1"/>
  <c r="F101" i="3" l="1"/>
  <c r="I78" i="3" l="1"/>
  <c r="J78" i="3" s="1"/>
  <c r="J92" i="3"/>
  <c r="J76" i="3" l="1"/>
  <c r="E92" i="3"/>
  <c r="I92" i="3" s="1"/>
  <c r="J86" i="3"/>
  <c r="J77" i="3" l="1"/>
  <c r="J79" i="3"/>
  <c r="J80" i="3"/>
  <c r="J81" i="3" l="1"/>
  <c r="E70" i="3"/>
  <c r="E62" i="3" s="1"/>
  <c r="D70" i="3"/>
  <c r="D62" i="3" s="1"/>
  <c r="E65" i="3"/>
  <c r="D65" i="3"/>
  <c r="E60" i="3"/>
  <c r="D60" i="3"/>
  <c r="I66" i="3"/>
  <c r="I64" i="3"/>
  <c r="I63" i="3"/>
  <c r="I61" i="3"/>
  <c r="I59" i="3"/>
  <c r="E71" i="3"/>
  <c r="D71" i="3"/>
  <c r="E69" i="3"/>
  <c r="E58" i="3" s="1"/>
  <c r="I74" i="3"/>
  <c r="J68" i="3"/>
  <c r="I70" i="3" l="1"/>
  <c r="I71" i="3"/>
  <c r="I62" i="3"/>
  <c r="I60" i="3"/>
  <c r="I65" i="3"/>
  <c r="J57" i="3"/>
  <c r="D69" i="3"/>
  <c r="D58" i="3" s="1"/>
  <c r="I58" i="3" l="1"/>
  <c r="I73" i="3" s="1"/>
  <c r="I69" i="3"/>
  <c r="J69" i="3" s="1"/>
  <c r="J62" i="3"/>
  <c r="J59" i="3"/>
  <c r="J61" i="3"/>
  <c r="J63" i="3"/>
  <c r="J64" i="3"/>
  <c r="J66" i="3"/>
  <c r="I72" i="3" l="1"/>
  <c r="J60" i="3"/>
  <c r="J71" i="3"/>
  <c r="J58" i="3"/>
  <c r="I67" i="3"/>
  <c r="J65" i="3"/>
  <c r="E21" i="4"/>
  <c r="I21" i="4"/>
  <c r="J14" i="4"/>
  <c r="J15" i="4"/>
  <c r="J16" i="4"/>
  <c r="J17" i="4"/>
  <c r="J18" i="4"/>
  <c r="J19" i="4"/>
  <c r="J20" i="4"/>
  <c r="J8" i="4"/>
  <c r="J10" i="4"/>
  <c r="I6" i="4"/>
  <c r="J6" i="4" s="1"/>
  <c r="I5" i="4"/>
  <c r="I9" i="4"/>
  <c r="J9" i="4" s="1"/>
  <c r="I7" i="4"/>
  <c r="J7" i="4" s="1"/>
  <c r="I75" i="3" l="1"/>
  <c r="J67" i="3"/>
  <c r="J72" i="3"/>
  <c r="J70" i="3"/>
  <c r="J21" i="4"/>
  <c r="I11" i="4"/>
  <c r="J11" i="4" s="1"/>
  <c r="J5" i="4"/>
  <c r="I48" i="3"/>
  <c r="J48" i="3" s="1"/>
  <c r="I47" i="3"/>
  <c r="J47" i="3" s="1"/>
  <c r="I46" i="3"/>
  <c r="J46" i="3" s="1"/>
  <c r="I45" i="3"/>
  <c r="J45" i="3" s="1"/>
  <c r="E44" i="3"/>
  <c r="D44" i="3"/>
  <c r="I44" i="3" l="1"/>
  <c r="J44" i="3" s="1"/>
  <c r="I53" i="4"/>
  <c r="J53" i="4" s="1"/>
  <c r="Q7" i="3"/>
  <c r="T7" i="3" s="1"/>
  <c r="W7" i="3" s="1"/>
  <c r="Z7" i="3" s="1"/>
  <c r="Q8" i="3"/>
  <c r="T8" i="3" s="1"/>
  <c r="W8" i="3" s="1"/>
  <c r="Z8" i="3" s="1"/>
  <c r="Q9" i="3"/>
  <c r="T9" i="3" s="1"/>
  <c r="W9" i="3" s="1"/>
  <c r="Z9" i="3" s="1"/>
  <c r="Q10" i="3"/>
  <c r="T10" i="3" s="1"/>
  <c r="W10" i="3" s="1"/>
  <c r="Z10" i="3" s="1"/>
  <c r="Q11" i="3"/>
  <c r="T11" i="3" s="1"/>
  <c r="W11" i="3" s="1"/>
  <c r="Z11" i="3" s="1"/>
  <c r="Q12" i="3"/>
  <c r="T12" i="3" s="1"/>
  <c r="W12" i="3" s="1"/>
  <c r="Z12" i="3" s="1"/>
  <c r="Q13" i="3"/>
  <c r="T13" i="3" s="1"/>
  <c r="W13" i="3" s="1"/>
  <c r="Z13" i="3" s="1"/>
  <c r="Q14" i="3"/>
  <c r="T14" i="3" s="1"/>
  <c r="W14" i="3" s="1"/>
  <c r="Z14" i="3" s="1"/>
  <c r="Q15" i="3"/>
  <c r="T15" i="3" s="1"/>
  <c r="W15" i="3" s="1"/>
  <c r="Z15" i="3" s="1"/>
  <c r="Q16" i="3"/>
  <c r="T16" i="3" s="1"/>
  <c r="W16" i="3" s="1"/>
  <c r="Z16" i="3" s="1"/>
  <c r="Q17" i="3"/>
  <c r="T17" i="3" s="1"/>
  <c r="W17" i="3" s="1"/>
  <c r="Z17" i="3" s="1"/>
  <c r="Q18" i="3"/>
  <c r="T18" i="3" s="1"/>
  <c r="W18" i="3" s="1"/>
  <c r="Z18" i="3" s="1"/>
  <c r="Q6" i="3"/>
  <c r="T6" i="3" s="1"/>
  <c r="W6" i="3" s="1"/>
  <c r="Z6" i="3" s="1"/>
  <c r="I49" i="3" l="1"/>
  <c r="J49" i="3" s="1"/>
  <c r="E18" i="3"/>
  <c r="J18" i="3"/>
  <c r="E17" i="3"/>
  <c r="J17" i="3"/>
  <c r="J16" i="3"/>
  <c r="E16" i="3"/>
  <c r="J15" i="3"/>
  <c r="E15" i="3"/>
  <c r="J14" i="3"/>
  <c r="E14" i="3"/>
  <c r="J13" i="3"/>
  <c r="E13" i="3"/>
  <c r="J12" i="3"/>
  <c r="E12" i="3"/>
  <c r="J11" i="3"/>
  <c r="E11" i="3"/>
  <c r="J10" i="3"/>
  <c r="E10" i="3"/>
  <c r="J6" i="3"/>
  <c r="E6" i="3"/>
  <c r="J9" i="3"/>
  <c r="E9" i="3"/>
  <c r="J8" i="3"/>
  <c r="E8" i="3"/>
  <c r="J7" i="3"/>
  <c r="E7" i="3"/>
  <c r="L12" i="3" l="1"/>
  <c r="O12" i="3" s="1"/>
  <c r="K28" i="3" s="1"/>
  <c r="L28" i="3" s="1"/>
  <c r="L15" i="3"/>
  <c r="O15" i="3" s="1"/>
  <c r="L13" i="3"/>
  <c r="L11" i="3"/>
  <c r="L18" i="3"/>
  <c r="M18" i="3" s="1"/>
  <c r="L6" i="3"/>
  <c r="M6" i="3" s="1"/>
  <c r="L10" i="3"/>
  <c r="L17" i="3"/>
  <c r="L16" i="3"/>
  <c r="L14" i="3"/>
  <c r="L9" i="3"/>
  <c r="L8" i="3"/>
  <c r="M15" i="3" l="1"/>
  <c r="O18" i="3"/>
  <c r="K34" i="3" s="1"/>
  <c r="L34" i="3" s="1"/>
  <c r="M12" i="3"/>
  <c r="O14" i="3"/>
  <c r="K30" i="3" s="1"/>
  <c r="L30" i="3" s="1"/>
  <c r="M14" i="3"/>
  <c r="O13" i="3"/>
  <c r="M13" i="3"/>
  <c r="O9" i="3"/>
  <c r="K25" i="3" s="1"/>
  <c r="L25" i="3" s="1"/>
  <c r="M9" i="3"/>
  <c r="R15" i="3"/>
  <c r="P15" i="3"/>
  <c r="O16" i="3"/>
  <c r="K32" i="3" s="1"/>
  <c r="L32" i="3" s="1"/>
  <c r="M16" i="3"/>
  <c r="K31" i="3"/>
  <c r="L31" i="3" s="1"/>
  <c r="O11" i="3"/>
  <c r="M11" i="3"/>
  <c r="O8" i="3"/>
  <c r="M8" i="3"/>
  <c r="O17" i="3"/>
  <c r="K33" i="3" s="1"/>
  <c r="L33" i="3" s="1"/>
  <c r="M17" i="3"/>
  <c r="O10" i="3"/>
  <c r="M10" i="3"/>
  <c r="R12" i="3"/>
  <c r="P12" i="3"/>
  <c r="L7" i="3"/>
  <c r="O6" i="3"/>
  <c r="P18" i="3" l="1"/>
  <c r="R18" i="3"/>
  <c r="N34" i="3" s="1"/>
  <c r="O34" i="3" s="1"/>
  <c r="R10" i="3"/>
  <c r="P10" i="3"/>
  <c r="K26" i="3"/>
  <c r="L26" i="3" s="1"/>
  <c r="R8" i="3"/>
  <c r="P8" i="3"/>
  <c r="R6" i="3"/>
  <c r="P6" i="3"/>
  <c r="K22" i="3"/>
  <c r="L22" i="3" s="1"/>
  <c r="K24" i="3"/>
  <c r="L24" i="3" s="1"/>
  <c r="R16" i="3"/>
  <c r="P16" i="3"/>
  <c r="R9" i="3"/>
  <c r="P9" i="3"/>
  <c r="R14" i="3"/>
  <c r="P14" i="3"/>
  <c r="O7" i="3"/>
  <c r="M7" i="3"/>
  <c r="S12" i="3"/>
  <c r="N28" i="3"/>
  <c r="O28" i="3" s="1"/>
  <c r="U12" i="3"/>
  <c r="V12" i="3" s="1"/>
  <c r="R17" i="3"/>
  <c r="P17" i="3"/>
  <c r="R11" i="3"/>
  <c r="P11" i="3"/>
  <c r="K27" i="3"/>
  <c r="L27" i="3" s="1"/>
  <c r="S15" i="3"/>
  <c r="N31" i="3"/>
  <c r="O31" i="3" s="1"/>
  <c r="U15" i="3"/>
  <c r="V15" i="3" s="1"/>
  <c r="R13" i="3"/>
  <c r="P13" i="3"/>
  <c r="K29" i="3"/>
  <c r="L29" i="3" s="1"/>
  <c r="J19" i="3"/>
  <c r="E19" i="3"/>
  <c r="S18" i="3" l="1"/>
  <c r="U18" i="3"/>
  <c r="V18" i="3" s="1"/>
  <c r="Q28" i="3"/>
  <c r="R28" i="3" s="1"/>
  <c r="X12" i="3"/>
  <c r="Y12" i="3" s="1"/>
  <c r="S8" i="3"/>
  <c r="U8" i="3"/>
  <c r="V8" i="3" s="1"/>
  <c r="N24" i="3"/>
  <c r="O24" i="3" s="1"/>
  <c r="S11" i="3"/>
  <c r="N27" i="3"/>
  <c r="O27" i="3" s="1"/>
  <c r="U11" i="3"/>
  <c r="V11" i="3" s="1"/>
  <c r="Q31" i="3"/>
  <c r="R31" i="3" s="1"/>
  <c r="X15" i="3"/>
  <c r="Y15" i="3" s="1"/>
  <c r="R7" i="3"/>
  <c r="P7" i="3"/>
  <c r="S9" i="3"/>
  <c r="U9" i="3"/>
  <c r="V9" i="3" s="1"/>
  <c r="N25" i="3"/>
  <c r="O25" i="3" s="1"/>
  <c r="K23" i="3"/>
  <c r="L23" i="3" s="1"/>
  <c r="S14" i="3"/>
  <c r="U14" i="3"/>
  <c r="V14" i="3" s="1"/>
  <c r="N30" i="3"/>
  <c r="O30" i="3" s="1"/>
  <c r="S16" i="3"/>
  <c r="N32" i="3"/>
  <c r="O32" i="3" s="1"/>
  <c r="U16" i="3"/>
  <c r="V16" i="3" s="1"/>
  <c r="S6" i="3"/>
  <c r="N22" i="3"/>
  <c r="U6" i="3"/>
  <c r="V6" i="3" s="1"/>
  <c r="S13" i="3"/>
  <c r="N29" i="3"/>
  <c r="O29" i="3" s="1"/>
  <c r="U13" i="3"/>
  <c r="V13" i="3" s="1"/>
  <c r="S17" i="3"/>
  <c r="N33" i="3"/>
  <c r="O33" i="3" s="1"/>
  <c r="U17" i="3"/>
  <c r="V17" i="3" s="1"/>
  <c r="S10" i="3"/>
  <c r="N26" i="3"/>
  <c r="O26" i="3" s="1"/>
  <c r="U10" i="3"/>
  <c r="V10" i="3" s="1"/>
  <c r="L19" i="3"/>
  <c r="O19" i="3" s="1"/>
  <c r="Q34" i="3" l="1"/>
  <c r="R34" i="3" s="1"/>
  <c r="X18" i="3"/>
  <c r="Y18" i="3" s="1"/>
  <c r="Q26" i="3"/>
  <c r="R26" i="3" s="1"/>
  <c r="X10" i="3"/>
  <c r="Y10" i="3" s="1"/>
  <c r="O22" i="3"/>
  <c r="Q27" i="3"/>
  <c r="R27" i="3" s="1"/>
  <c r="X11" i="3"/>
  <c r="Y11" i="3" s="1"/>
  <c r="Q24" i="3"/>
  <c r="R24" i="3" s="1"/>
  <c r="X8" i="3"/>
  <c r="Y8" i="3" s="1"/>
  <c r="S7" i="3"/>
  <c r="N23" i="3"/>
  <c r="O23" i="3" s="1"/>
  <c r="U7" i="3"/>
  <c r="V7" i="3" s="1"/>
  <c r="Q29" i="3"/>
  <c r="R29" i="3" s="1"/>
  <c r="X13" i="3"/>
  <c r="Y13" i="3" s="1"/>
  <c r="Q32" i="3"/>
  <c r="R32" i="3" s="1"/>
  <c r="X16" i="3"/>
  <c r="Y16" i="3" s="1"/>
  <c r="X14" i="3"/>
  <c r="Y14" i="3" s="1"/>
  <c r="Q30" i="3"/>
  <c r="Q25" i="3"/>
  <c r="R25" i="3" s="1"/>
  <c r="X9" i="3"/>
  <c r="Y9" i="3" s="1"/>
  <c r="T31" i="3"/>
  <c r="U31" i="3" s="1"/>
  <c r="AA15" i="3"/>
  <c r="T28" i="3"/>
  <c r="U28" i="3" s="1"/>
  <c r="AA12" i="3"/>
  <c r="Q33" i="3"/>
  <c r="R33" i="3" s="1"/>
  <c r="X17" i="3"/>
  <c r="Y17" i="3" s="1"/>
  <c r="Q22" i="3"/>
  <c r="R22" i="3" s="1"/>
  <c r="X6" i="3"/>
  <c r="Y6" i="3" s="1"/>
  <c r="K35" i="3"/>
  <c r="T34" i="3" l="1"/>
  <c r="U34" i="3" s="1"/>
  <c r="AA18" i="3"/>
  <c r="W34" i="3" s="1"/>
  <c r="X34" i="3" s="1"/>
  <c r="W31" i="3"/>
  <c r="X31" i="3" s="1"/>
  <c r="AB15" i="3"/>
  <c r="W28" i="3"/>
  <c r="X28" i="3" s="1"/>
  <c r="AB12" i="3"/>
  <c r="T33" i="3"/>
  <c r="U33" i="3" s="1"/>
  <c r="AA17" i="3"/>
  <c r="R30" i="3"/>
  <c r="X7" i="3"/>
  <c r="Y7" i="3" s="1"/>
  <c r="Q23" i="3"/>
  <c r="R23" i="3" s="1"/>
  <c r="N35" i="3"/>
  <c r="AA8" i="3"/>
  <c r="T24" i="3"/>
  <c r="U24" i="3" s="1"/>
  <c r="T30" i="3"/>
  <c r="U30" i="3" s="1"/>
  <c r="AA14" i="3"/>
  <c r="AA11" i="3"/>
  <c r="T27" i="3"/>
  <c r="U27" i="3" s="1"/>
  <c r="T26" i="3"/>
  <c r="U26" i="3" s="1"/>
  <c r="AA10" i="3"/>
  <c r="T22" i="3"/>
  <c r="AA6" i="3"/>
  <c r="AA9" i="3"/>
  <c r="T25" i="3"/>
  <c r="U25" i="3" s="1"/>
  <c r="AA16" i="3"/>
  <c r="T32" i="3"/>
  <c r="U32" i="3" s="1"/>
  <c r="AA13" i="3"/>
  <c r="T29" i="3"/>
  <c r="U29" i="3" s="1"/>
  <c r="L35" i="3"/>
  <c r="AB18" i="3" l="1"/>
  <c r="W29" i="3"/>
  <c r="X29" i="3" s="1"/>
  <c r="AB13" i="3"/>
  <c r="W25" i="3"/>
  <c r="X25" i="3" s="1"/>
  <c r="AB9" i="3"/>
  <c r="W33" i="3"/>
  <c r="X33" i="3" s="1"/>
  <c r="AB17" i="3"/>
  <c r="W22" i="3"/>
  <c r="X22" i="3" s="1"/>
  <c r="AB6" i="3"/>
  <c r="W32" i="3"/>
  <c r="X32" i="3" s="1"/>
  <c r="AB16" i="3"/>
  <c r="W27" i="3"/>
  <c r="X27" i="3" s="1"/>
  <c r="AB11" i="3"/>
  <c r="W24" i="3"/>
  <c r="X24" i="3" s="1"/>
  <c r="AB8" i="3"/>
  <c r="W26" i="3"/>
  <c r="X26" i="3" s="1"/>
  <c r="AB10" i="3"/>
  <c r="W30" i="3"/>
  <c r="X30" i="3" s="1"/>
  <c r="AB14" i="3"/>
  <c r="Q35" i="3"/>
  <c r="U22" i="3"/>
  <c r="AA7" i="3"/>
  <c r="T23" i="3"/>
  <c r="U23" i="3" s="1"/>
  <c r="R35" i="3"/>
  <c r="O35" i="3"/>
  <c r="W23" i="3" l="1"/>
  <c r="X23" i="3" s="1"/>
  <c r="X35" i="3" s="1"/>
  <c r="AB7" i="3"/>
  <c r="U35" i="3"/>
  <c r="T35" i="3"/>
  <c r="N38" i="3" l="1"/>
  <c r="W35" i="3"/>
  <c r="K38" i="3" s="1"/>
  <c r="I81" i="3" l="1"/>
  <c r="I84" i="3" s="1"/>
</calcChain>
</file>

<file path=xl/sharedStrings.xml><?xml version="1.0" encoding="utf-8"?>
<sst xmlns="http://schemas.openxmlformats.org/spreadsheetml/2006/main" count="259" uniqueCount="152">
  <si>
    <t>Сервер</t>
  </si>
  <si>
    <t>МФУ HP LaserJet Pro M426fdn</t>
  </si>
  <si>
    <t>№ п/п</t>
  </si>
  <si>
    <t>Технические характеристики</t>
  </si>
  <si>
    <t>Средняя цена за ед. 2023 года, тыс. руб. без НДС</t>
  </si>
  <si>
    <t>Наименование продукции/услуг</t>
  </si>
  <si>
    <t>Стоимость 2023 год, тыс. руб. без НДС</t>
  </si>
  <si>
    <t>Стоимость 2023 год, тыс. руб. с НДС</t>
  </si>
  <si>
    <t>ИТОГО</t>
  </si>
  <si>
    <t>Предложение 2</t>
  </si>
  <si>
    <t>Предложение 3</t>
  </si>
  <si>
    <t>Кол-во 2024 год, шт.</t>
  </si>
  <si>
    <t>Кол-во 2025 год, шт.</t>
  </si>
  <si>
    <t>Кол-во 2026 год, шт.</t>
  </si>
  <si>
    <t>Кол-во 2027 год, шт.</t>
  </si>
  <si>
    <t>Стоимость 2024 год, тыс. руб. без НДС</t>
  </si>
  <si>
    <t>Стоимость 2024 год, тыс. руб. с НДС</t>
  </si>
  <si>
    <t>Стоимость 2025 год, тыс. руб. без НДС</t>
  </si>
  <si>
    <t>Стоимость 2025 год, тыс. руб. с НДС</t>
  </si>
  <si>
    <t>Стоимость 2026 год, тыс. руб. без НДС</t>
  </si>
  <si>
    <t>Стоимость 2026 год, тыс. руб. с НДС</t>
  </si>
  <si>
    <t>Стоимость 2027 год, тыс. руб. без НДС</t>
  </si>
  <si>
    <t>Стоимость 2027 год, тыс. руб. с НДС</t>
  </si>
  <si>
    <t xml:space="preserve">Supermicro SERVER SYS-1029P-MTR (X11DPL-I, 113MFTS-R804CB) 2xXeon Silver 4215R (3.2Hz, 8C, 11M, 9,6 GT/s, 130W, Turbo, HT), 4xSamsung DDR4 32GB RDIMM (PC4-25600) 3200MHz ECC Reg 1.2V, 2xHDD SAS 2,5 Seagate 900Gb ST900MP0146 Exos 15E900 15000 rpm 256Mb, 2xSamsung Enterprise SSD, 2.5"(SFF) PM893 480GB SATA 3.3 6Gbps R550/W530Mb/s IOPS(R4K) 97K/29K TLC MTBF 2M 1 DWPD, (up 8x2.5 HDD), AOC-S3108L-H8IR 8-ports/12Gb/s/240 SATA/SAS drives/RAID (0/1/5/6/10/50/60)/2GB, </t>
  </si>
  <si>
    <t xml:space="preserve">Системный блок  </t>
  </si>
  <si>
    <t>Монитор 23,8"</t>
  </si>
  <si>
    <t xml:space="preserve">Размер экрана: 23,8";
Макс. разрешение: 1920х1080;
Тип матрицы: IPS;
Вход: VGA, HDMI;
Встроенная веб-камера
</t>
  </si>
  <si>
    <t>Монитор 27"</t>
  </si>
  <si>
    <t xml:space="preserve">Размер экрана: 27";
Макс. разрешение: 2560х1440;
Тип матрицы: IPS;
Соотношение сторон: 16:9;
Вход: VGA, HDMI, DVI.
</t>
  </si>
  <si>
    <t>Ноутбук</t>
  </si>
  <si>
    <t>Экран: 15,6" (Разрешение 1920 x 1080);
Процессор: Intel Core i7, 1GHz;
Память: DDR4, 8GB;
Тип первого диска: SSD;
Объем диска: 512 Gb;
W10Pro.</t>
  </si>
  <si>
    <t>Моноблок</t>
  </si>
  <si>
    <t xml:space="preserve">Процессор: Intel Core i5;
Частота процессора: 2,0 GHz;
Оперативная память: 8GB;
Тип первого диска: SSD;
Объем диска: 512 Gb;
Размер экрана: 23,8";
Макс. разрешение: 1920х1080;
клавиатура, мышь;
W10Pro.
</t>
  </si>
  <si>
    <t>Коммутатор</t>
  </si>
  <si>
    <t xml:space="preserve">Управляемый;
Кол-во LAN портов: 24;
Кол-во. PoE портов: 24;
sfp 4x1 Гбит/с
Установка в стойку.
</t>
  </si>
  <si>
    <t>Сканер Epson DS-1660W</t>
  </si>
  <si>
    <t xml:space="preserve">тип сканера: планшетный,
формат: A4,
емкость лотка для подачи бумаги: 50 листов,
тип сканирования: цветное,
автоподатчик: есть,
разрешение сканирования: 1200 x 1200 dpi,
интерфейс: USB 2.0; Ethernet; Wi-Fi,
</t>
  </si>
  <si>
    <t xml:space="preserve">скорость печати:  38 стр/мин (ч/б А4),
максимальный формат: A4
разрешение: 1200x1200 dpi;
технология печати: монохромная лазерная
процессор: 1,2 ГГц;
рабочий цикл: 80 000 стр./мес.; 
оперативная память: стандарт 512МГб;
стандартно: дуплекс;
Подача бумаги: 350 лист. (стандартная); 900 лист (максимальная);
Интерфейсы: Ethernet (RJ-45), USB 2.0;
Отображение информации: цветной сенсорный ЖК-дисплей
</t>
  </si>
  <si>
    <t>МФУ лазерный HP Color LaserJet Enterprise Flow MFP M776z, A3, цветной</t>
  </si>
  <si>
    <t xml:space="preserve">скорость печати:  46 стр/мин (ч/б А4), 46 стр/мин (цв. А4),
максимальный формат: A3
разрешение: 1200x1200 dpi;
технология печати: цветная лазерная
процессор: 1,2 ГГц;
оперативная память: стандарт 5120 МБ;
стандартно: дуплекс;
Интерфейсы: Ethernet (RJ-45), USB 2.0;
</t>
  </si>
  <si>
    <t>Плоттер hp Designjet T830</t>
  </si>
  <si>
    <t xml:space="preserve">Формат носителя/бумаги ISO (максимальный)  A0
Ширина бумаги (дюймы)   36 (914 мм)
Технология печати   термальная струйная
Кол-во цветов   4 (CMYK)
Память ОЗУ  1 ГБ
Разрешение печати макс. (т/д)  2400 x 1200
USB для ПК  да
</t>
  </si>
  <si>
    <t>Бесконтактный сканер  ЭларСкан С1, А1</t>
  </si>
  <si>
    <t xml:space="preserve">Формат сканирования от А4 до A0
Цветность 48/24 бит
Разрешение до 800 dpi
</t>
  </si>
  <si>
    <t>Источник бесперебойного питания 3000VA</t>
  </si>
  <si>
    <t xml:space="preserve">Выходная мощность (полная) 3000VA
Выходная мощность (полная) 2850 W
Возможность установки в стойку
Горячая замена батарей
</t>
  </si>
  <si>
    <t>МФУ HP LaserJet Pro M428fdn (А4)</t>
  </si>
  <si>
    <t>ИТОГО на 2023-2027г.г.</t>
  </si>
  <si>
    <t>Стоимость 2023-2027 год, тыс. руб. без НДС</t>
  </si>
  <si>
    <t>Стоимость 2023-2027 год, тыс. руб. с НДС</t>
  </si>
  <si>
    <t xml:space="preserve">Средняя цена за единицу в ценах 2022 г.,
тыс. руб. без НДС </t>
  </si>
  <si>
    <t xml:space="preserve">Средняя цена за единицу в ценах 2022 г.,
тыс. руб. с НДС </t>
  </si>
  <si>
    <t xml:space="preserve">Средняя цена за единицу в ценах 2023 г.,
тыс. руб. с НДС </t>
  </si>
  <si>
    <t>Темп роста индекса потребительских цен (ИПЦ) 2023 год – 1,04 (в соответствии с прогнозом социально-экономического развития РФ  от 30.09.2021)</t>
  </si>
  <si>
    <t>Темп роста индекса потребительских цен (ИПЦ) 2024 год – 1,04 (в соответствии с прогнозом социально-экономического развития РФ  от 30.09.2021)</t>
  </si>
  <si>
    <t>Средняя цена за ед. 2024 года, тыс. руб. без НДС</t>
  </si>
  <si>
    <t>Темп роста индекса потребительских цен (ИПЦ) 2025 год – 1,04 (в соответствии с прогнозом социально-экономического развития РФ  от 30.09.2021)</t>
  </si>
  <si>
    <t>Средняя цена за ед. 2025 года, тыс. руб. без НДС</t>
  </si>
  <si>
    <t>Темп роста индекса потребительских цен (ИПЦ) 2026 год – 1,04 (в соответствии с прогнозом социально-экономического развития РФ  от 30.09.2021)</t>
  </si>
  <si>
    <t>Средняя цена за ед. 2026 года, тыс. руб. без НДС</t>
  </si>
  <si>
    <t>Темп роста индекса потребительских цен (ИПЦ) 2027 год – 1,04 (в соответствии с прогнозом социально-экономического развития РФ  от 30.09.2021)</t>
  </si>
  <si>
    <t>Средняя цена за ед. 2027 года, тыс. руб. без НДС</t>
  </si>
  <si>
    <t xml:space="preserve">Средняя цена за единицу в ценах 2024 г.,
тыс. руб. с НДС </t>
  </si>
  <si>
    <t xml:space="preserve">Средняя цена за единицу в ценах 2025 г.,
тыс. руб. с НДС </t>
  </si>
  <si>
    <t xml:space="preserve">Средняя цена за единицу в ценах 2026 г.,
тыс. руб. с НДС </t>
  </si>
  <si>
    <t xml:space="preserve">Средняя цена за единицу в ценах 2027 г.,
тыс. руб. с НДС </t>
  </si>
  <si>
    <t>Расчет стоимости по проекту  М_022 «Приобретение информационно-вычислительной техники» произведен на основании коммерческих предложений.</t>
  </si>
  <si>
    <t xml:space="preserve">Процессор: Intel Core i7;Тип первого диска: SSD;
Объем диска: 512 Gb;
Wi-Fi;Тип первого диска: SSD;
Объем диска: 512 Gb;
Wi-Fi;
клавиатура, мышь;
W10Pro
</t>
  </si>
  <si>
    <t>Расчет стоимости по утвержденному инвестиционному проекту</t>
  </si>
  <si>
    <t xml:space="preserve">Расчет стоимости по инвестиционному проекту на 2023 год с учетом корректировки </t>
  </si>
  <si>
    <t>Комплект:  Системный блок+ Монитор 23,8" (2 шт.)</t>
  </si>
  <si>
    <t>МФУ HP LaserJet Pro M428fdn (4 шт.)</t>
  </si>
  <si>
    <t>МФУ лазерный Kyocera TASKalfa 4053ci, A3, цветной</t>
  </si>
  <si>
    <t>Плоттер HP Designjet T830, A0 (1 шт.)</t>
  </si>
  <si>
    <t>Источник бесперебойного питания 3000VA (1 шт.)</t>
  </si>
  <si>
    <t xml:space="preserve">ИТОГО на 2023г. </t>
  </si>
  <si>
    <t>Нименование</t>
  </si>
  <si>
    <t>№</t>
  </si>
  <si>
    <t xml:space="preserve">Средняя цена  в ценах 2023 
тыс. руб. без НДС </t>
  </si>
  <si>
    <t>Наименование</t>
  </si>
  <si>
    <t>Тыс. руб. без НДС</t>
  </si>
  <si>
    <t>Расчет стоимости на 2023 г.</t>
  </si>
  <si>
    <t>МФУ лазерный Kyocera TASKalfa 4053ci, A3, цветной (1 шт.)</t>
  </si>
  <si>
    <t>Расчет стоимости на 2024 г.</t>
  </si>
  <si>
    <t>Системный блок (4 шт.)</t>
  </si>
  <si>
    <t>Монитор 23,8" (2 шт.)</t>
  </si>
  <si>
    <t>Монитор 27" (2 шт.)</t>
  </si>
  <si>
    <t>Ноутбук (1 шт.)</t>
  </si>
  <si>
    <t>Сканер ЭларСкан С1, А1 (1 шт.)</t>
  </si>
  <si>
    <t xml:space="preserve">ИТОГО на 2024г. </t>
  </si>
  <si>
    <t>Расчет стоимости на 2025 г.</t>
  </si>
  <si>
    <t>Сервер (1 шт.)</t>
  </si>
  <si>
    <t>Системный блок (6 шт.)</t>
  </si>
  <si>
    <t>Монитор 23,8" (3 шт.)</t>
  </si>
  <si>
    <t>Монитор 27" (3 шт.)</t>
  </si>
  <si>
    <t>Моноблок (1 шт.)</t>
  </si>
  <si>
    <t>Сканер Epson DS-1660W (2 шт.)</t>
  </si>
  <si>
    <t xml:space="preserve">ИТОГО на 2025г. </t>
  </si>
  <si>
    <t>Расчет стоимости на 2026 г.</t>
  </si>
  <si>
    <t>Коммутатор (2 шт.)</t>
  </si>
  <si>
    <t xml:space="preserve">ИТОГО на 2026г. </t>
  </si>
  <si>
    <t>Расчет стоимости на 2027 г.</t>
  </si>
  <si>
    <t xml:space="preserve">ИТОГО на 2027г. </t>
  </si>
  <si>
    <t>ВСЕГО на 2023 – 2027г.г.</t>
  </si>
  <si>
    <t>ПЛАН</t>
  </si>
  <si>
    <t>Кол-во</t>
  </si>
  <si>
    <t xml:space="preserve">Моноблок </t>
  </si>
  <si>
    <t>Отклонения</t>
  </si>
  <si>
    <t>КОРРЕКТИРОВКА</t>
  </si>
  <si>
    <t>Монитор 34</t>
  </si>
  <si>
    <t>Компьютер в комплекте  (1 шт.)</t>
  </si>
  <si>
    <t>Ноутбук (3 шт.)</t>
  </si>
  <si>
    <t>МФУ А4 (5 шт.)</t>
  </si>
  <si>
    <t>Оборудование учебного класса для обучения и проверки знаний по технике безопасности и охраны труда</t>
  </si>
  <si>
    <t>Комплект:  системный блок + монитор (9 шт.)</t>
  </si>
  <si>
    <t xml:space="preserve">Средняя цена  в ценах 2024 
тыс. руб. с НДС </t>
  </si>
  <si>
    <t xml:space="preserve">Средняя цена  в ценах 2024
тыс. руб. без НДС </t>
  </si>
  <si>
    <t xml:space="preserve">ИТОГО на 2024 год </t>
  </si>
  <si>
    <t>Периферийное оборудование(1 шт.)</t>
  </si>
  <si>
    <t>Трэкпад(1 шт.)</t>
  </si>
  <si>
    <t>Клавиатура (1 шт.)</t>
  </si>
  <si>
    <t>Электронная книга (1 шт.)</t>
  </si>
  <si>
    <t>Чехол-обложка (1 шт.)</t>
  </si>
  <si>
    <t>Компьютер в комплекте  (13 шт.)</t>
  </si>
  <si>
    <t>Системный комплекс аудио визуализации c периферийное оборудование (1 шт.)</t>
  </si>
  <si>
    <t>Ноутбук (4 шт.)</t>
  </si>
  <si>
    <t>Плоншетный копьютер  (шт.)</t>
  </si>
  <si>
    <t xml:space="preserve"> </t>
  </si>
  <si>
    <t>Системный комплекс аудио визуализации с периферийным оборудованием(1 шт.)</t>
  </si>
  <si>
    <t>Softline</t>
  </si>
  <si>
    <t>Разработка Модели угроз по актуальной методике ФСТЭК</t>
  </si>
  <si>
    <t>Категорирование объектов</t>
  </si>
  <si>
    <t xml:space="preserve">Разработка ТЗ на создание системы защиты информации, разработка ОРД по обеспечению информационной безопасности, проектирование системы защиты информации </t>
  </si>
  <si>
    <t>с НДС</t>
  </si>
  <si>
    <t>"Центр безопасности данных" (ООО ЦБД «Айдеко»)</t>
  </si>
  <si>
    <t>ООО «УПРАВЛЕНИЕ ИНФОРМАЦИОННОЙ БЕЗОПАСНОСТИ»</t>
  </si>
  <si>
    <t>Технотроникс</t>
  </si>
  <si>
    <t>Компонетика</t>
  </si>
  <si>
    <t>ИП Раскина Е.Ю</t>
  </si>
  <si>
    <t>без НДС</t>
  </si>
  <si>
    <t>Средняя цена, руб.</t>
  </si>
  <si>
    <t xml:space="preserve">Средняя цена, руб. </t>
  </si>
  <si>
    <t>на 2025 г.</t>
  </si>
  <si>
    <t>Расчет стоимости по инвестиционному проекту «Создание системы информационно-технической безопасности» (Р_001)</t>
  </si>
  <si>
    <t>Расчет средней цены категорирования объектов</t>
  </si>
  <si>
    <t>Расчет полной стоимости мероприятий</t>
  </si>
  <si>
    <t>Наименование мероприятия</t>
  </si>
  <si>
    <t>Расчет средней стоимости установки сигнализации в ТП</t>
  </si>
  <si>
    <t>ВСЕГО</t>
  </si>
  <si>
    <t xml:space="preserve">Сигнализация ТП (оборудование), программное обеспечение </t>
  </si>
  <si>
    <t>Монтаж и ПНР системы сигнализации трансформаторных подстанций (хозспособ)</t>
  </si>
  <si>
    <t xml:space="preserve">в т.ч. система сигнализации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</si>
</sst>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0">
    <numFmt numFmtId="164" formatCode="_-* #,##0_-;\-* #,##0_-;_-* &quot;-&quot;_-;_-@_-"/>
    <numFmt numFmtId="165" formatCode="_-* #,##0.00_-;\-* #,##0.00_-;_-* &quot;-&quot;??_-;_-@_-"/>
    <numFmt numFmtId="166" formatCode="#,##0&quot;р.&quot;;[Red]\-#,##0&quot;р.&quot;"/>
    <numFmt numFmtId="167" formatCode="#,##0.00&quot;р.&quot;;\-#,##0.00&quot;р.&quot;"/>
    <numFmt numFmtId="168" formatCode="_-* #,##0&quot;р.&quot;_-;\-* #,##0&quot;р.&quot;_-;_-* &quot;-&quot;&quot;р.&quot;_-;_-@_-"/>
    <numFmt numFmtId="169" formatCode="_-* #,##0_р_._-;\-* #,##0_р_._-;_-* &quot;-&quot;_р_._-;_-@_-"/>
    <numFmt numFmtId="170" formatCode="_-* #,##0.00&quot;р.&quot;_-;\-* #,##0.00&quot;р.&quot;_-;_-* &quot;-&quot;??&quot;р.&quot;_-;_-@_-"/>
    <numFmt numFmtId="171" formatCode="_-* #,##0.00_р_._-;\-* #,##0.00_р_._-;_-* &quot;-&quot;??_р_._-;_-@_-"/>
    <numFmt numFmtId="172" formatCode="&quot;$&quot;#,##0_);[Red]\(&quot;$&quot;#,##0\)"/>
    <numFmt numFmtId="173" formatCode="#,##0.0_);\(#,##0.0\)"/>
    <numFmt numFmtId="174" formatCode="#,##0.00%"/>
    <numFmt numFmtId="175" formatCode="#,##0;\(#,##0\)"/>
    <numFmt numFmtId="176" formatCode="_-* #,##0.00\ _$_-;\-* #,##0.00\ _$_-;_-* &quot;-&quot;??\ _$_-;_-@_-"/>
    <numFmt numFmtId="177" formatCode="#,##0;\(#,##0\);&quot;-&quot;"/>
    <numFmt numFmtId="178" formatCode="_-* #,##0_)_-;\-* \(#,##0\)_-;_-* &quot;-&quot;_)_-;_-@_-"/>
    <numFmt numFmtId="179" formatCode="@\ *."/>
    <numFmt numFmtId="180" formatCode="_-* #,##0\ &quot;руб&quot;_-;\-* #,##0\ &quot;руб&quot;_-;_-* &quot;-&quot;\ &quot;руб&quot;_-;_-@_-"/>
    <numFmt numFmtId="181" formatCode="000000"/>
    <numFmt numFmtId="182" formatCode="0.0_)"/>
    <numFmt numFmtId="183" formatCode="_ * #,##0.00_)&quot;F&quot;_ ;_ * \(#,##0.00\)&quot;F&quot;_ ;_ * &quot;-&quot;??_)&quot;F&quot;_ ;_ @_ "/>
    <numFmt numFmtId="184" formatCode="General_)"/>
    <numFmt numFmtId="185" formatCode="0.000"/>
    <numFmt numFmtId="186" formatCode="&quot;fl&quot;#,##0_);\(&quot;fl&quot;#,##0\)"/>
    <numFmt numFmtId="187" formatCode="&quot;fl&quot;#,##0_);[Red]\(&quot;fl&quot;#,##0\)"/>
    <numFmt numFmtId="188" formatCode="_(* #,##0.0_);_(* \(#,##0.00\);_(* &quot;-&quot;??_);_(@_)"/>
    <numFmt numFmtId="189" formatCode="&quot;fl&quot;#,##0.00_);\(&quot;fl&quot;#,##0.00\)"/>
    <numFmt numFmtId="190" formatCode="&quot;error&quot;;&quot;error&quot;;&quot;OK&quot;;&quot;  &quot;@"/>
    <numFmt numFmtId="191" formatCode="#,##0;\-#,##0;\-"/>
    <numFmt numFmtId="192" formatCode="#,##0.0;\-#,##0.0;\-"/>
    <numFmt numFmtId="193" formatCode="0.00%;\-0.00%;\-"/>
    <numFmt numFmtId="194" formatCode="[$-409]d\-mmm\-yy;@"/>
    <numFmt numFmtId="195" formatCode="0000"/>
    <numFmt numFmtId="196" formatCode="##,#0_;\(#,##0\);&quot;-&quot;??_);@"/>
    <numFmt numFmtId="197" formatCode="*(#,##0\);*#\,##0_);&quot;-&quot;??_);@"/>
    <numFmt numFmtId="198" formatCode="_*\(#,##0\);_*#,##0_);&quot;-&quot;??_);@"/>
    <numFmt numFmtId="199" formatCode="_(* #,##0.00_);_(* \(#,##0.00\);_(* &quot;-&quot;??_);_(@_)"/>
    <numFmt numFmtId="200" formatCode="#,##0.000"/>
    <numFmt numFmtId="201" formatCode="_-* #,##0.00\ _р_._-;\-* #,##0.00\ _р_._-;_-* &quot;-&quot;??\ _р_._-;_-@_-"/>
    <numFmt numFmtId="202" formatCode="_-* #,##0_ð_._-;\-* #,##0_ð_._-;_-* &quot;-&quot;_ð_._-;_-@_-"/>
    <numFmt numFmtId="203" formatCode="_-* #,##0_р_._-;\-* #,##0_р_._-;_-* &quot;-&quot;??_р_._-;_-@_-"/>
    <numFmt numFmtId="204" formatCode="_(* #,##0.0_);_(* \(#,##0.0\);_(* &quot;-&quot;??_);_(@_)"/>
    <numFmt numFmtId="205" formatCode="* \(#,##0\);* #,##0_);&quot;-&quot;??_);@"/>
    <numFmt numFmtId="206" formatCode="&quot;$&quot;#,##0.00_);[Red]\(&quot;$&quot;#,##0.00\)"/>
    <numFmt numFmtId="207" formatCode="#,##0_);\(#,##0\);&quot;-&quot;??_);@"/>
    <numFmt numFmtId="208" formatCode="* #,##0_);* \(#,##0\);&quot;-&quot;??_);@"/>
    <numFmt numFmtId="209" formatCode="_(&quot;$&quot;* #,##0.00_);_(&quot;$&quot;* \(#,##0.00\);_(&quot;$&quot;* &quot;-&quot;??_);_(@_)"/>
    <numFmt numFmtId="210" formatCode="\$#,##0\ ;\(\$#,##0\)"/>
    <numFmt numFmtId="211" formatCode="dd\ mmm\ yyyy_);;;&quot;  &quot;@"/>
    <numFmt numFmtId="212" formatCode="dd\.mm\.yyyy&quot;г.&quot;"/>
    <numFmt numFmtId="213" formatCode="mmmm\ d\,\ yyyy"/>
    <numFmt numFmtId="214" formatCode="_(* #,###.0_);_(* \(#,###.0\);_(* &quot;-&quot;?_);_(@_)"/>
    <numFmt numFmtId="215" formatCode="#,##0_);\(#,##0\);&quot;- &quot;;&quot;  &quot;@"/>
    <numFmt numFmtId="216" formatCode="_-* #,##0\ _D_M_-;\-* #,##0\ _D_M_-;_-* &quot;-&quot;\ _D_M_-;_-@_-"/>
    <numFmt numFmtId="217" formatCode="_-* #,##0.00\ _D_M_-;\-* #,##0.00\ _D_M_-;_-* &quot;-&quot;??\ _D_M_-;_-@_-"/>
    <numFmt numFmtId="218" formatCode="_-* #,##0\ _F_-;\-* #,##0\ _F_-;_-* &quot;-&quot;\ _F_-;_-@_-"/>
    <numFmt numFmtId="219" formatCode="_-* #,##0.00\ _F_-;\-* #,##0.00\ _F_-;_-* &quot;-&quot;??\ _F_-;_-@_-"/>
    <numFmt numFmtId="220" formatCode="&quot;Да&quot;;&quot;Да&quot;;&quot;Нет&quot;"/>
    <numFmt numFmtId="221" formatCode="_([$€-2]* #,##0.00_);_([$€-2]* \(#,##0.00\);_([$€-2]* &quot;-&quot;??_)"/>
    <numFmt numFmtId="222" formatCode="_([$€-2]* #,##0.00_);_([$€-2]* \(#,##0.00\);_([$€-2]* \-??_)"/>
    <numFmt numFmtId="223" formatCode="_(\ #,##0.0_%_);_(\ \(#,##0.0_%\);_(\ &quot; - &quot;_%_);_(@_)"/>
    <numFmt numFmtId="224" formatCode="_(\ #,##0.0%_);_(\ \(#,##0.0%\);_(\ &quot; - &quot;\%_);_(@_)"/>
    <numFmt numFmtId="225" formatCode="_(* #,##0_);_(* \(#,##0\);_(* &quot; - &quot;_);_(@_)"/>
    <numFmt numFmtId="226" formatCode="#,##0_);\(#,##0\);&quot; - &quot;_);@_)"/>
    <numFmt numFmtId="227" formatCode="\ #,##0.0_);\(#,##0.0\);&quot; - &quot;_);@_)"/>
    <numFmt numFmtId="228" formatCode="\ #,##0.00_);\(#,##0.00\);&quot; - &quot;_);@_)"/>
    <numFmt numFmtId="229" formatCode="\ #,##0.000_);\(#,##0.000\);&quot; - &quot;_);@_)"/>
    <numFmt numFmtId="230" formatCode="[Magenta]&quot;Err&quot;;[Magenta]&quot;Err&quot;;[Blue]&quot;OK&quot;"/>
    <numFmt numFmtId="231" formatCode="d\ mmmm\ yyyy"/>
    <numFmt numFmtId="232" formatCode="#,##0;[Red]\(#,##0\);0"/>
    <numFmt numFmtId="233" formatCode="General&quot;.&quot;"/>
    <numFmt numFmtId="234" formatCode="#,##0_);[Red]\(#,##0\);\-_)"/>
    <numFmt numFmtId="235" formatCode="0.0_)%;[Red]\(0.0%\);0.0_)%"/>
    <numFmt numFmtId="236" formatCode="[Red][&gt;1]&quot;&gt;100 %&quot;;[Red]\(0.0%\);0.0_)%"/>
    <numFmt numFmtId="237" formatCode="#,##0.0000_);\(#,##0.0000\);&quot;- &quot;;&quot;  &quot;@"/>
    <numFmt numFmtId="238" formatCode="0.0%"/>
    <numFmt numFmtId="239" formatCode="#,##0_ ;[Red]\-#,##0\ "/>
    <numFmt numFmtId="240" formatCode="#,##0;[Red]&quot;-&quot;#,##0"/>
    <numFmt numFmtId="241" formatCode="_-* #,##0.00\ _P_t_s_-;\-* #,##0.00\ _P_t_s_-;_-* &quot;-&quot;??\ _P_t_s_-;_-@_-"/>
    <numFmt numFmtId="242" formatCode="_(* #,##0_);_(* \(#,##0\);_(* &quot;-&quot;_);_(@_)"/>
    <numFmt numFmtId="243" formatCode="_-&quot;?&quot;* #,##0_-;\-&quot;?&quot;* #,##0_-;_-&quot;?&quot;* &quot;-&quot;_-;_-@_-"/>
    <numFmt numFmtId="244" formatCode="_-&quot;?&quot;* #,##0.00_-;\-&quot;?&quot;* #,##0.00_-;_-&quot;?&quot;* &quot;-&quot;??_-;_-@_-"/>
    <numFmt numFmtId="245" formatCode="_(&quot;$&quot;* #,##0_);_(&quot;$&quot;* \(#,##0\);_(&quot;$&quot;* &quot;-&quot;_);_(@_)"/>
    <numFmt numFmtId="246" formatCode="_ * #,##0_)&quot;F&quot;_ ;_ * \(#,##0\)&quot;F&quot;_ ;_ * &quot;-&quot;_)&quot;F&quot;_ ;_ @_ "/>
    <numFmt numFmtId="247" formatCode="_-&quot;£&quot;* #,##0_-;\-&quot;£&quot;* #,##0_-;_-&quot;£&quot;* &quot;-&quot;_-;_-@_-"/>
    <numFmt numFmtId="248" formatCode="#,##0.00&quot; F&quot;;[Red]\-#,##0.00&quot; F&quot;"/>
    <numFmt numFmtId="249" formatCode="_-&quot;£&quot;* #,##0.00_-;\-&quot;£&quot;* #,##0.00_-;_-&quot;£&quot;* &quot;-&quot;??_-;_-@_-"/>
    <numFmt numFmtId="250" formatCode="#,##0.00&quot;т.р.&quot;;\-#,##0.00&quot;т.р.&quot;"/>
    <numFmt numFmtId="251" formatCode="_-* #,##0\ _d_._-;\-* #,##0\ _d_._-;_-* &quot;-&quot;\ _d_._-;_-@_-"/>
    <numFmt numFmtId="252" formatCode="_-* #,##0.00\ _d_._-;\-* #,##0.00\ _d_._-;_-* &quot;-&quot;??\ _d_._-;_-@_-"/>
    <numFmt numFmtId="253" formatCode="0.00000%"/>
    <numFmt numFmtId="254" formatCode="_-* #,##0.00_ð_._-;\-* #,##0.00_ð_._-;_-* &quot;-&quot;??_ð_._-;_-@_-"/>
    <numFmt numFmtId="255" formatCode="0.0000000%"/>
    <numFmt numFmtId="256" formatCode="&quot;See Note &quot;\ #"/>
    <numFmt numFmtId="257" formatCode="_-* #,##0_?_._-;\-* #,##0_?_._-;_-* &quot;-&quot;_?_._-;_-@_-"/>
    <numFmt numFmtId="258" formatCode="\(#,##0.0\)"/>
    <numFmt numFmtId="259" formatCode="#,##0\ &quot;?.&quot;;\-#,##0\ &quot;?.&quot;"/>
    <numFmt numFmtId="260" formatCode="_(* #,##0.0_);_(* \(#,##0.0\)"/>
    <numFmt numFmtId="261" formatCode="0.0_)%;\(0.0\)%"/>
    <numFmt numFmtId="262" formatCode="0.00_)%;\(0.00\)%"/>
    <numFmt numFmtId="263" formatCode="0%_);\(0%\)"/>
    <numFmt numFmtId="264" formatCode="\60\4\7\:"/>
    <numFmt numFmtId="265" formatCode="* \(#,##0.0\);* #,##0.0_);&quot;-&quot;??_);@"/>
    <numFmt numFmtId="266" formatCode="* \(#,##0.00\);* #,##0.00_);&quot;-&quot;??_);@"/>
    <numFmt numFmtId="267" formatCode="_(* \(#,##0.0\);_(* #,##0.0_);_(* &quot;-&quot;_);_(@_)"/>
    <numFmt numFmtId="268" formatCode="_(* \(#,##0.00\);_(* #,##0.00_);_(* &quot;-&quot;_);_(@_)"/>
    <numFmt numFmtId="269" formatCode="_(* \(#,##0.000\);_(* #,##0.000_);_(* &quot;-&quot;_);_(@_)"/>
    <numFmt numFmtId="270" formatCode="#,##0.000000;[Red]#,##0.000000"/>
    <numFmt numFmtId="271" formatCode="&quot;$&quot;#,##0.00_);\(&quot;$&quot;#,##0.00\)"/>
    <numFmt numFmtId="272" formatCode="#,##0.00;\-#,##0.00;\-"/>
    <numFmt numFmtId="273" formatCode="#,##0.00;[Red]\(#,##0.00\)"/>
    <numFmt numFmtId="274" formatCode="0.00;[Red]0.00"/>
    <numFmt numFmtId="275" formatCode="#,##0.000;\-#,##0.000;\-"/>
    <numFmt numFmtId="276" formatCode="&quot;fl&quot;#,##0.00_);[Red]\(&quot;fl&quot;#,##0.00\)"/>
    <numFmt numFmtId="277" formatCode="_(&quot;fl&quot;* #,##0_);_(&quot;fl&quot;* \(#,##0\);_(&quot;fl&quot;* &quot;-&quot;_);_(@_)"/>
    <numFmt numFmtId="278" formatCode="_-* #,##0.00\ &quot;Pts&quot;_-;\-* #,##0.00\ &quot;Pts&quot;_-;_-* &quot;-&quot;??\ &quot;Pts&quot;_-;_-@_-"/>
    <numFmt numFmtId="279" formatCode="_(&quot;¤&quot;* #,##0_);_(&quot;¤&quot;* \(#,##0\);_(&quot;¤&quot;* &quot;-&quot;_);_(@_)"/>
    <numFmt numFmtId="280" formatCode="_(&quot;¤&quot;* #,##0.00_);_(&quot;¤&quot;* \(#,##0.00\);_(&quot;¤&quot;* &quot;-&quot;??_);_(@_)"/>
    <numFmt numFmtId="281" formatCode="_-* #,##0.00&quot;?.&quot;_-;\-* #,##0.00&quot;?.&quot;_-;_-* &quot;-&quot;??&quot;?.&quot;_-;_-@_-"/>
    <numFmt numFmtId="282" formatCode="_ * #,##0_ ;_ * \(#,##0_ ;_ * &quot;-&quot;_ ;_ @_ "/>
    <numFmt numFmtId="283" formatCode="&quot;$&quot;#,##0.000000;[Red]&quot;$&quot;#,##0.000000"/>
    <numFmt numFmtId="284" formatCode="#,##0.0000000_$"/>
    <numFmt numFmtId="285" formatCode="&quot;$&quot;\ #,##0.00"/>
    <numFmt numFmtId="286" formatCode="_ * #,##0_ ;_ * \(#,##0_)\ ;_ * &quot;-&quot;_ ;_ @_ "/>
    <numFmt numFmtId="287" formatCode="&quot;$&quot;\ #,##0"/>
    <numFmt numFmtId="288" formatCode="&quot;$&quot;"/>
    <numFmt numFmtId="289" formatCode="_._.* #,##0_)_%;_._.* \(#,##0\)_%;_._.* \ _)_%"/>
    <numFmt numFmtId="290" formatCode="###0;\-###0;\-"/>
    <numFmt numFmtId="291" formatCode="yyyy"/>
    <numFmt numFmtId="292" formatCode="yyyy\ &quot;год&quot;"/>
    <numFmt numFmtId="293" formatCode=";;&quot;zero&quot;;&quot;  &quot;@"/>
    <numFmt numFmtId="294" formatCode="#,##0\в"/>
    <numFmt numFmtId="295" formatCode="#,##0.000_ ;\-#,##0.000\ "/>
    <numFmt numFmtId="296" formatCode="#,##0.00_ ;[Red]\-#,##0.00\ "/>
    <numFmt numFmtId="297" formatCode="0.0"/>
    <numFmt numFmtId="298" formatCode="#,##0\т"/>
    <numFmt numFmtId="299" formatCode="_-* #,##0\ _р_._-;\-* #,##0\ _р_._-;_-* &quot;-&quot;\ _р_._-;_-@_-"/>
    <numFmt numFmtId="300" formatCode="_-* #,##0\ _$_-;\-* #,##0\ _$_-;_-* &quot;-&quot;\ _$_-;_-@_-"/>
    <numFmt numFmtId="301" formatCode="#,##0.00_ ;[Red]\-#,##0.00\ ;&quot;- &quot;"/>
    <numFmt numFmtId="302" formatCode="#,##0_ ;[Red]\-#,##0\ ;&quot;- &quot;"/>
    <numFmt numFmtId="303" formatCode="#,##0.00_ ;\-#,##0.00\ "/>
  </numFmts>
  <fonts count="36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MS Sans Serif"/>
      <family val="2"/>
    </font>
    <font>
      <sz val="10"/>
      <color indexed="8"/>
      <name val="MS Sans Serif"/>
      <family val="2"/>
      <charset val="204"/>
    </font>
    <font>
      <sz val="10"/>
      <color indexed="8"/>
      <name val="Helv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"/>
      <family val="2"/>
    </font>
    <font>
      <b/>
      <sz val="10"/>
      <color rgb="FF2F4F4F"/>
      <name val="Verdana"/>
      <family val="2"/>
      <charset val="204"/>
    </font>
    <font>
      <sz val="10"/>
      <color indexed="0"/>
      <name val="Helv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Helv"/>
      <family val="2"/>
    </font>
    <font>
      <b/>
      <sz val="22"/>
      <color indexed="18"/>
      <name val="Arial"/>
      <family val="2"/>
    </font>
    <font>
      <sz val="1"/>
      <color indexed="9"/>
      <name val="Verdana"/>
      <family val="2"/>
      <charset val="204"/>
    </font>
    <font>
      <sz val="8"/>
      <name val="Verdana"/>
      <family val="2"/>
      <charset val="204"/>
    </font>
    <font>
      <sz val="10"/>
      <color indexed="8"/>
      <name val="Verdana"/>
      <family val="2"/>
      <charset val="204"/>
    </font>
    <font>
      <sz val="10"/>
      <name val="Arial Cyr"/>
      <charset val="204"/>
    </font>
    <font>
      <b/>
      <sz val="10"/>
      <color indexed="8"/>
      <name val="Verdana"/>
      <family val="2"/>
      <charset val="204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Courier"/>
      <family val="1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i/>
      <sz val="10"/>
      <color indexed="32"/>
      <name val="Arial Narrow"/>
      <family val="2"/>
    </font>
    <font>
      <sz val="10"/>
      <name val="Arial Narrow"/>
      <family val="2"/>
    </font>
    <font>
      <sz val="12"/>
      <color indexed="8"/>
      <name val="Courier"/>
      <family val="3"/>
    </font>
    <font>
      <b/>
      <sz val="1"/>
      <color indexed="8"/>
      <name val="Courier"/>
      <family val="3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1"/>
      <name val="Times New Roman CE"/>
      <family val="1"/>
      <charset val="238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PragmaticaCTT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theme="0"/>
      <name val="Calibri"/>
      <family val="2"/>
      <scheme val="minor"/>
    </font>
    <font>
      <sz val="9"/>
      <color indexed="11"/>
      <name val="Arial"/>
      <family val="2"/>
      <charset val="204"/>
    </font>
    <font>
      <sz val="8"/>
      <name val="Helv"/>
      <charset val="204"/>
    </font>
    <font>
      <u/>
      <sz val="10"/>
      <color indexed="12"/>
      <name val="Arial Cyr"/>
      <charset val="204"/>
    </font>
    <font>
      <sz val="8"/>
      <name val="Times"/>
      <family val="1"/>
    </font>
    <font>
      <sz val="10"/>
      <name val="Courier New"/>
      <family val="3"/>
      <charset val="204"/>
    </font>
    <font>
      <sz val="8"/>
      <color indexed="12"/>
      <name val="Helv"/>
    </font>
    <font>
      <sz val="9"/>
      <color indexed="8"/>
      <name val="Pragmatica"/>
      <charset val="204"/>
    </font>
    <font>
      <sz val="11"/>
      <color indexed="14"/>
      <name val="Calibri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9"/>
      <name val="Calibri"/>
      <family val="2"/>
    </font>
    <font>
      <sz val="9"/>
      <color indexed="56"/>
      <name val="Frutiger 45 Light"/>
      <family val="2"/>
    </font>
    <font>
      <sz val="12"/>
      <name val="Tms Rmn"/>
    </font>
    <font>
      <sz val="8"/>
      <name val="Arial"/>
      <family val="2"/>
      <charset val="204"/>
    </font>
    <font>
      <sz val="8"/>
      <name val="Arial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10"/>
      <name val="Arial Narrow"/>
      <family val="2"/>
      <charset val="204"/>
    </font>
    <font>
      <sz val="10"/>
      <color indexed="10"/>
      <name val="Arial Narrow"/>
      <family val="2"/>
    </font>
    <font>
      <b/>
      <sz val="9"/>
      <color indexed="21"/>
      <name val="Arial CYR"/>
      <family val="2"/>
      <charset val="204"/>
    </font>
    <font>
      <sz val="10"/>
      <name val="Courier New"/>
      <family val="3"/>
    </font>
    <font>
      <b/>
      <u val="singleAccounting"/>
      <sz val="8"/>
      <color indexed="8"/>
      <name val="Arial"/>
      <family val="2"/>
      <charset val="204"/>
    </font>
    <font>
      <sz val="8"/>
      <name val="Palatino"/>
      <family val="1"/>
    </font>
    <font>
      <sz val="10"/>
      <color indexed="8"/>
      <name val="Arial"/>
      <family val="2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color indexed="24"/>
      <name val="Arial"/>
      <family val="2"/>
      <charset val="204"/>
    </font>
    <font>
      <sz val="10"/>
      <color indexed="22"/>
      <name val="Arial"/>
      <family val="2"/>
      <charset val="204"/>
    </font>
    <font>
      <b/>
      <u/>
      <sz val="10"/>
      <name val="Helv"/>
    </font>
    <font>
      <b/>
      <sz val="13"/>
      <name val="Arial"/>
      <family val="2"/>
      <charset val="204"/>
    </font>
    <font>
      <i/>
      <sz val="10"/>
      <color indexed="17"/>
      <name val="Arial"/>
      <family val="2"/>
    </font>
    <font>
      <sz val="10"/>
      <name val="Times New Roman"/>
      <family val="1"/>
    </font>
    <font>
      <sz val="10"/>
      <name val="Book Antiqua"/>
      <family val="1"/>
    </font>
    <font>
      <sz val="9"/>
      <name val="Arial"/>
      <family val="2"/>
      <charset val="204"/>
    </font>
    <font>
      <b/>
      <i/>
      <strike/>
      <sz val="12"/>
      <color indexed="48"/>
      <name val="Arial"/>
      <family val="2"/>
    </font>
    <font>
      <sz val="8"/>
      <color indexed="9"/>
      <name val="Arial"/>
      <family val="2"/>
    </font>
    <font>
      <b/>
      <sz val="10"/>
      <name val="Arial Cyr"/>
      <family val="2"/>
      <charset val="204"/>
    </font>
    <font>
      <sz val="10"/>
      <name val="StoneSerif"/>
      <charset val="204"/>
    </font>
    <font>
      <u val="doubleAccounting"/>
      <sz val="10"/>
      <name val="Times New Roman"/>
      <family val="1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sz val="10"/>
      <name val="Times New Roman CE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i/>
      <strike/>
      <sz val="12"/>
      <color indexed="40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Arial Narrow"/>
      <family val="2"/>
    </font>
    <font>
      <sz val="9"/>
      <color indexed="12"/>
      <name val="Arial"/>
      <family val="2"/>
    </font>
    <font>
      <b/>
      <sz val="10"/>
      <color indexed="25"/>
      <name val="Arial Narrow"/>
      <family val="2"/>
    </font>
    <font>
      <b/>
      <sz val="8"/>
      <color indexed="12"/>
      <name val="Arial"/>
      <family val="2"/>
    </font>
    <font>
      <b/>
      <sz val="10"/>
      <color indexed="32"/>
      <name val="Arial Narrow"/>
      <family val="2"/>
    </font>
    <font>
      <i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b/>
      <sz val="14"/>
      <name val="Arial"/>
      <family val="2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color indexed="8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12"/>
      <name val="Arial"/>
      <family val="2"/>
    </font>
    <font>
      <sz val="10"/>
      <color indexed="25"/>
      <name val="Arial Narrow"/>
      <family val="2"/>
    </font>
    <font>
      <sz val="10"/>
      <color indexed="32"/>
      <name val="Arial Narrow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25"/>
      <name val="Arial"/>
      <family val="2"/>
    </font>
    <font>
      <b/>
      <sz val="14"/>
      <color indexed="32"/>
      <name val="Arial"/>
      <family val="2"/>
    </font>
    <font>
      <sz val="8"/>
      <color indexed="25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8"/>
      <color indexed="8"/>
      <name val="Courier"/>
      <family val="3"/>
    </font>
    <font>
      <sz val="8"/>
      <color indexed="8"/>
      <name val="Courier"/>
      <family val="3"/>
    </font>
    <font>
      <i/>
      <sz val="12"/>
      <color indexed="8"/>
      <name val="Courier"/>
      <family val="3"/>
    </font>
    <font>
      <sz val="10"/>
      <name val="Baltica"/>
      <charset val="204"/>
    </font>
    <font>
      <b/>
      <u/>
      <sz val="7"/>
      <name val="Helv"/>
    </font>
    <font>
      <sz val="10"/>
      <name val="Courier"/>
      <family val="3"/>
    </font>
    <font>
      <sz val="7"/>
      <name val="Palatino"/>
      <family val="1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1"/>
      <name val="Arial Narrow"/>
      <family val="2"/>
      <charset val="204"/>
    </font>
    <font>
      <sz val="9"/>
      <name val="Futura UBS Bk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</font>
    <font>
      <b/>
      <sz val="15"/>
      <color indexed="56"/>
      <name val="Arial"/>
      <family val="2"/>
      <charset val="204"/>
    </font>
    <font>
      <b/>
      <sz val="13"/>
      <color indexed="62"/>
      <name val="Calibri"/>
      <family val="2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</font>
    <font>
      <b/>
      <sz val="13"/>
      <color indexed="56"/>
      <name val="Arial"/>
      <family val="2"/>
      <charset val="204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MS Sans Serif"/>
      <family val="2"/>
    </font>
    <font>
      <sz val="8"/>
      <color indexed="13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name val="Arial"/>
      <family val="2"/>
    </font>
    <font>
      <sz val="12"/>
      <name val="Arial"/>
      <family val="2"/>
      <charset val="204"/>
    </font>
    <font>
      <i/>
      <sz val="10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u/>
      <sz val="9"/>
      <color indexed="36"/>
      <name val="Arial"/>
      <family val="2"/>
      <charset val="204"/>
    </font>
    <font>
      <u/>
      <sz val="7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1"/>
      <color indexed="62"/>
      <name val="Calibri"/>
      <family val="2"/>
    </font>
    <font>
      <sz val="1"/>
      <color indexed="9"/>
      <name val="Symbol"/>
      <family val="1"/>
      <charset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b/>
      <sz val="10"/>
      <color indexed="48"/>
      <name val="Times New Roman"/>
      <family val="1"/>
      <charset val="204"/>
    </font>
    <font>
      <i/>
      <sz val="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3"/>
      <name val="Times New Roman"/>
      <family val="1"/>
      <charset val="204"/>
    </font>
    <font>
      <b/>
      <sz val="13"/>
      <name val="Times New Roman"/>
      <family val="1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sz val="8"/>
      <color indexed="8"/>
      <name val="Arial Narrow"/>
      <family val="2"/>
      <charset val="204"/>
    </font>
    <font>
      <sz val="10"/>
      <color indexed="12"/>
      <name val="Arial Narrow"/>
      <family val="2"/>
    </font>
    <font>
      <sz val="10"/>
      <color indexed="12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48"/>
      <name val="Tahoma"/>
      <family val="2"/>
      <charset val="204"/>
    </font>
    <font>
      <sz val="11"/>
      <color indexed="52"/>
      <name val="Calibri"/>
      <family val="2"/>
    </font>
    <font>
      <sz val="11"/>
      <color indexed="5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9"/>
      <color indexed="12"/>
      <name val="Arial Cyr"/>
      <family val="2"/>
      <charset val="204"/>
    </font>
    <font>
      <sz val="8"/>
      <color indexed="8"/>
      <name val="Helv"/>
    </font>
    <font>
      <sz val="12"/>
      <name val="Gill Sans"/>
      <charset val="204"/>
    </font>
    <font>
      <sz val="12"/>
      <name val="Gill Sans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b/>
      <u val="singleAccounting"/>
      <sz val="8"/>
      <color indexed="8"/>
      <name val="Verdana"/>
      <family val="2"/>
      <charset val="204"/>
    </font>
    <font>
      <b/>
      <sz val="10"/>
      <color indexed="9"/>
      <name val="Arial"/>
      <family val="2"/>
      <charset val="204"/>
    </font>
    <font>
      <b/>
      <sz val="12"/>
      <color indexed="8"/>
      <name val="Verdana"/>
      <family val="2"/>
      <charset val="204"/>
    </font>
    <font>
      <sz val="7"/>
      <name val="Small Fonts"/>
      <family val="2"/>
    </font>
    <font>
      <sz val="8"/>
      <name val="Helv PL"/>
      <charset val="238"/>
    </font>
    <font>
      <sz val="11"/>
      <color indexed="8"/>
      <name val="Times New Roman"/>
      <family val="2"/>
    </font>
    <font>
      <sz val="10"/>
      <name val="Times Armenian"/>
    </font>
    <font>
      <sz val="10"/>
      <name val="Palatino"/>
      <family val="1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</font>
    <font>
      <sz val="10"/>
      <name val="Verdana"/>
      <family val="2"/>
      <charset val="204"/>
    </font>
    <font>
      <sz val="10"/>
      <name val="Times New Roman Cyr"/>
      <charset val="204"/>
    </font>
    <font>
      <sz val="12"/>
      <name val="TimesET"/>
    </font>
    <font>
      <sz val="8"/>
      <name val="Helv"/>
    </font>
    <font>
      <b/>
      <i/>
      <sz val="10"/>
      <name val="Arial"/>
      <family val="2"/>
      <charset val="204"/>
    </font>
    <font>
      <b/>
      <i/>
      <sz val="10"/>
      <name val="Arial"/>
      <family val="2"/>
    </font>
    <font>
      <i/>
      <strike/>
      <sz val="12"/>
      <color indexed="10"/>
      <name val="Arial"/>
      <family val="2"/>
    </font>
    <font>
      <sz val="10"/>
      <name val="Arial Cyr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10"/>
      <color indexed="17"/>
      <name val="Arial"/>
      <family val="2"/>
      <charset val="238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22"/>
      <name val="UBSHeadline"/>
      <family val="1"/>
    </font>
    <font>
      <sz val="12"/>
      <name val="Helv"/>
    </font>
    <font>
      <b/>
      <u/>
      <sz val="6"/>
      <name val="Helv"/>
    </font>
    <font>
      <strike/>
      <sz val="12"/>
      <color indexed="46"/>
      <name val="Arial"/>
      <family val="2"/>
    </font>
    <font>
      <b/>
      <u/>
      <sz val="10"/>
      <name val="Arial"/>
      <family val="2"/>
    </font>
    <font>
      <u/>
      <sz val="10"/>
      <name val="Arial"/>
      <family val="2"/>
      <charset val="204"/>
    </font>
    <font>
      <sz val="12"/>
      <color indexed="17"/>
      <name val="Arial"/>
      <family val="2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0"/>
      <name val="Arial Narrow"/>
      <family val="2"/>
      <charset val="204"/>
    </font>
    <font>
      <b/>
      <sz val="10"/>
      <color indexed="20"/>
      <name val="Arial Narrow"/>
      <family val="2"/>
      <charset val="204"/>
    </font>
    <font>
      <b/>
      <sz val="8"/>
      <color indexed="9"/>
      <name val="Verdana"/>
      <family val="2"/>
      <charset val="204"/>
    </font>
    <font>
      <b/>
      <sz val="18"/>
      <color indexed="62"/>
      <name val="Cambria"/>
      <family val="2"/>
      <charset val="204"/>
    </font>
    <font>
      <u val="singleAccounting"/>
      <sz val="10"/>
      <name val="Times New Roman"/>
      <family val="1"/>
    </font>
    <font>
      <sz val="10"/>
      <color indexed="0"/>
      <name val="Helv"/>
      <charset val="204"/>
    </font>
    <font>
      <vertAlign val="subscript"/>
      <sz val="8"/>
      <color indexed="8"/>
      <name val="Arial"/>
      <family val="2"/>
      <charset val="204"/>
    </font>
    <font>
      <vertAlign val="superscript"/>
      <sz val="8"/>
      <color indexed="8"/>
      <name val="Arial"/>
      <family val="2"/>
      <charset val="204"/>
    </font>
    <font>
      <b/>
      <sz val="10"/>
      <color indexed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sz val="8.5"/>
      <name val="MS Sans Serif"/>
      <family val="2"/>
    </font>
    <font>
      <sz val="12"/>
      <color indexed="8"/>
      <name val="Palatino"/>
      <family val="1"/>
    </font>
    <font>
      <sz val="8"/>
      <name val="Pragmatica"/>
    </font>
    <font>
      <sz val="11"/>
      <name val="Helvetica-Black"/>
    </font>
    <font>
      <sz val="11"/>
      <color indexed="8"/>
      <name val="Helvetica-Black"/>
    </font>
    <font>
      <b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13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3"/>
      <color indexed="8"/>
      <name val="Verdana"/>
      <family val="2"/>
      <charset val="204"/>
    </font>
    <font>
      <b/>
      <sz val="11"/>
      <color indexed="8"/>
      <name val="Calibri"/>
      <family val="2"/>
    </font>
    <font>
      <b/>
      <sz val="10"/>
      <color indexed="8"/>
      <name val="Arial"/>
      <family val="2"/>
      <charset val="204"/>
    </font>
    <font>
      <b/>
      <sz val="8"/>
      <name val="Palatino"/>
      <family val="1"/>
    </font>
    <font>
      <b/>
      <sz val="10"/>
      <color indexed="8"/>
      <name val="Times New Roman"/>
      <family val="1"/>
      <charset val="204"/>
    </font>
    <font>
      <sz val="10"/>
      <color indexed="38"/>
      <name val="Arial"/>
      <family val="2"/>
    </font>
    <font>
      <u/>
      <sz val="8"/>
      <color indexed="8"/>
      <name val="Arial"/>
      <family val="2"/>
    </font>
    <font>
      <sz val="12"/>
      <name val="Calibri"/>
      <family val="2"/>
    </font>
    <font>
      <i/>
      <strike/>
      <sz val="12"/>
      <color indexed="48"/>
      <name val="Arial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9"/>
      <name val="Arial Cyr"/>
      <family val="2"/>
      <charset val="204"/>
    </font>
    <font>
      <b/>
      <u/>
      <sz val="10"/>
      <color indexed="8"/>
      <name val="MS Sans Serif"/>
      <family val="2"/>
    </font>
    <font>
      <sz val="11"/>
      <color indexed="62"/>
      <name val="Calibri"/>
      <family val="2"/>
      <charset val="204"/>
    </font>
    <font>
      <sz val="11"/>
      <color rgb="FF3F3F76"/>
      <name val="Calibri"/>
      <family val="2"/>
      <scheme val="minor"/>
    </font>
    <font>
      <b/>
      <sz val="8"/>
      <name val="Arial Cyr"/>
      <family val="2"/>
      <charset val="204"/>
    </font>
    <font>
      <sz val="14"/>
      <color indexed="18"/>
      <name val="Arial Cyr"/>
      <family val="2"/>
      <charset val="204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6"/>
      <name val="Arial CYR"/>
      <family val="2"/>
      <charset val="204"/>
    </font>
    <font>
      <b/>
      <sz val="20"/>
      <color indexed="12"/>
      <name val="Arial CYR"/>
      <family val="2"/>
      <charset val="204"/>
    </font>
    <font>
      <b/>
      <sz val="14"/>
      <color indexed="12"/>
      <name val="Arial Cyr"/>
      <family val="2"/>
      <charset val="204"/>
    </font>
    <font>
      <sz val="12"/>
      <name val="Arial Narrow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theme="3"/>
      <name val="Calibri"/>
      <family val="2"/>
      <scheme val="minor"/>
    </font>
    <font>
      <b/>
      <sz val="13"/>
      <color indexed="56"/>
      <name val="Calibri"/>
      <family val="2"/>
      <charset val="204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theme="1"/>
      <name val="Calibri"/>
      <family val="2"/>
      <scheme val="minor"/>
    </font>
    <font>
      <b/>
      <i/>
      <sz val="14"/>
      <color indexed="10"/>
      <name val="Arial Cyr"/>
      <family val="2"/>
      <charset val="204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indexed="9"/>
      <name val="Arial Cyr"/>
      <family val="2"/>
      <charset val="204"/>
    </font>
    <font>
      <sz val="11"/>
      <color rgb="FF9C6500"/>
      <name val="Calibri"/>
      <family val="2"/>
      <scheme val="minor"/>
    </font>
    <font>
      <sz val="12"/>
      <name val="Arial Cyr"/>
      <family val="2"/>
      <charset val="204"/>
    </font>
    <font>
      <sz val="11"/>
      <color theme="1"/>
      <name val="Calibri"/>
      <family val="2"/>
      <charset val="1"/>
      <scheme val="minor"/>
    </font>
    <font>
      <sz val="10"/>
      <name val="Teutonica Baltic"/>
      <charset val="186"/>
    </font>
    <font>
      <b/>
      <i/>
      <sz val="14"/>
      <color indexed="48"/>
      <name val="Arial CYR"/>
      <family val="2"/>
      <charset val="204"/>
    </font>
    <font>
      <sz val="11"/>
      <color rgb="FF9C0006"/>
      <name val="Calibri"/>
      <family val="2"/>
      <scheme val="minor"/>
    </font>
    <font>
      <b/>
      <sz val="11"/>
      <name val="Arial Cyr"/>
      <family val="2"/>
      <charset val="204"/>
    </font>
    <font>
      <i/>
      <sz val="11"/>
      <color rgb="FF7F7F7F"/>
      <name val="Calibri"/>
      <family val="2"/>
      <scheme val="minor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1"/>
      <color rgb="FFFA7D00"/>
      <name val="Calibri"/>
      <family val="2"/>
      <scheme val="minor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2"/>
      <name val="Arial"/>
      <family val="2"/>
      <charset val="204"/>
    </font>
    <font>
      <sz val="11"/>
      <color rgb="FFFF0000"/>
      <name val="Calibri"/>
      <family val="2"/>
      <scheme val="minor"/>
    </font>
    <font>
      <sz val="8"/>
      <name val="Arial Cyr"/>
      <family val="2"/>
      <charset val="204"/>
    </font>
    <font>
      <sz val="9"/>
      <name val="Arial Cyr"/>
      <charset val="204"/>
    </font>
    <font>
      <sz val="10"/>
      <color indexed="8"/>
      <name val="Arial Narrow"/>
      <family val="2"/>
      <charset val="204"/>
    </font>
    <font>
      <sz val="11"/>
      <color rgb="FF006100"/>
      <name val="Calibri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3"/>
      <charset val="128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22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9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rgb="FF4F81BD"/>
        <bgColor indexed="64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lightGray">
        <fgColor indexed="26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8"/>
        <bgColor indexed="17"/>
      </patternFill>
    </fill>
    <fill>
      <patternFill patternType="solid">
        <fgColor indexed="15"/>
        <bgColor indexed="64"/>
      </patternFill>
    </fill>
    <fill>
      <patternFill patternType="lightHorizontal">
        <fgColor indexed="9"/>
      </patternFill>
    </fill>
    <fill>
      <patternFill patternType="solid">
        <fgColor indexed="23"/>
        <bgColor indexed="24"/>
      </patternFill>
    </fill>
    <fill>
      <patternFill patternType="mediumGray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32"/>
      </left>
      <right style="thin">
        <color indexed="32"/>
      </right>
      <top/>
      <bottom/>
      <diagonal/>
    </border>
    <border>
      <left/>
      <right/>
      <top style="thin">
        <color indexed="25"/>
      </top>
      <bottom style="thin">
        <color indexed="25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226">
    <xf numFmtId="0" fontId="0" fillId="0" borderId="0"/>
    <xf numFmtId="0" fontId="18" fillId="0" borderId="0"/>
    <xf numFmtId="0" fontId="20" fillId="0" borderId="0"/>
    <xf numFmtId="172" fontId="21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23" fillId="0" borderId="0"/>
    <xf numFmtId="0" fontId="22" fillId="0" borderId="0"/>
    <xf numFmtId="40" fontId="24" fillId="0" borderId="0" applyFont="0" applyFill="0" applyBorder="0" applyAlignment="0" applyProtection="0"/>
    <xf numFmtId="0" fontId="25" fillId="0" borderId="0"/>
    <xf numFmtId="0" fontId="19" fillId="0" borderId="0"/>
    <xf numFmtId="0" fontId="19" fillId="0" borderId="0"/>
    <xf numFmtId="172" fontId="21" fillId="0" borderId="0" applyFont="0" applyFill="0" applyBorder="0" applyAlignment="0" applyProtection="0"/>
    <xf numFmtId="0" fontId="26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26" fillId="0" borderId="0"/>
    <xf numFmtId="0" fontId="28" fillId="33" borderId="15" applyNumberFormat="0">
      <alignment readingOrder="1"/>
      <protection locked="0"/>
    </xf>
    <xf numFmtId="0" fontId="26" fillId="0" borderId="0"/>
    <xf numFmtId="0" fontId="20" fillId="0" borderId="0"/>
    <xf numFmtId="0" fontId="20" fillId="0" borderId="0"/>
    <xf numFmtId="0" fontId="29" fillId="0" borderId="0"/>
    <xf numFmtId="173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28" fillId="33" borderId="15" applyNumberFormat="0">
      <alignment readingOrder="1"/>
      <protection locked="0"/>
    </xf>
    <xf numFmtId="0" fontId="26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0" fillId="0" borderId="0">
      <alignment vertical="top"/>
    </xf>
    <xf numFmtId="0" fontId="31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0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20" fillId="0" borderId="0"/>
    <xf numFmtId="0" fontId="20" fillId="0" borderId="0"/>
    <xf numFmtId="0" fontId="32" fillId="0" borderId="0"/>
    <xf numFmtId="0" fontId="20" fillId="0" borderId="0"/>
    <xf numFmtId="0" fontId="32" fillId="0" borderId="0"/>
    <xf numFmtId="0" fontId="19" fillId="0" borderId="0"/>
    <xf numFmtId="0" fontId="33" fillId="0" borderId="0" applyNumberFormat="0" applyFill="0" applyBorder="0" applyAlignment="0" applyProtection="0"/>
    <xf numFmtId="0" fontId="34" fillId="0" borderId="15" applyNumberFormat="0">
      <alignment readingOrder="1"/>
      <protection locked="0"/>
    </xf>
    <xf numFmtId="0" fontId="19" fillId="0" borderId="0"/>
    <xf numFmtId="0" fontId="35" fillId="0" borderId="0">
      <alignment horizontal="left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6" fillId="0" borderId="15" applyNumberFormat="0">
      <alignment readingOrder="1"/>
      <protection locked="0"/>
    </xf>
    <xf numFmtId="0" fontId="26" fillId="0" borderId="0"/>
    <xf numFmtId="0" fontId="32" fillId="0" borderId="0"/>
    <xf numFmtId="0" fontId="37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174" fontId="36" fillId="33" borderId="15">
      <alignment readingOrder="1"/>
      <protection locked="0"/>
    </xf>
    <xf numFmtId="174" fontId="38" fillId="33" borderId="15">
      <alignment readingOrder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0" fontId="19" fillId="0" borderId="0"/>
    <xf numFmtId="0" fontId="26" fillId="0" borderId="0"/>
    <xf numFmtId="0" fontId="20" fillId="0" borderId="0"/>
    <xf numFmtId="0" fontId="37" fillId="0" borderId="0"/>
    <xf numFmtId="0" fontId="20" fillId="0" borderId="0"/>
    <xf numFmtId="0" fontId="35" fillId="0" borderId="0">
      <alignment horizontal="left"/>
    </xf>
    <xf numFmtId="0" fontId="26" fillId="0" borderId="0"/>
    <xf numFmtId="0" fontId="36" fillId="35" borderId="15" applyNumberFormat="0">
      <alignment readingOrder="1"/>
      <protection locked="0"/>
    </xf>
    <xf numFmtId="4" fontId="36" fillId="36" borderId="15">
      <alignment readingOrder="1"/>
      <protection locked="0"/>
    </xf>
    <xf numFmtId="4" fontId="36" fillId="37" borderId="15">
      <alignment readingOrder="1"/>
      <protection locked="0"/>
    </xf>
    <xf numFmtId="4" fontId="36" fillId="37" borderId="15">
      <alignment horizontal="center" readingOrder="1"/>
      <protection locked="0"/>
    </xf>
    <xf numFmtId="0" fontId="36" fillId="36" borderId="15" applyNumberFormat="0">
      <alignment horizontal="center" readingOrder="1"/>
      <protection locked="0"/>
    </xf>
    <xf numFmtId="4" fontId="36" fillId="36" borderId="15">
      <alignment readingOrder="1"/>
      <protection locked="0"/>
    </xf>
    <xf numFmtId="4" fontId="36" fillId="37" borderId="15">
      <alignment readingOrder="1"/>
      <protection locked="0"/>
    </xf>
    <xf numFmtId="0" fontId="19" fillId="0" borderId="0"/>
    <xf numFmtId="0" fontId="19" fillId="0" borderId="0"/>
    <xf numFmtId="0" fontId="26" fillId="0" borderId="0"/>
    <xf numFmtId="0" fontId="20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9" fillId="0" borderId="17" applyNumberFormat="0" applyFill="0" applyProtection="0">
      <alignment horizontal="center"/>
    </xf>
    <xf numFmtId="0" fontId="39" fillId="0" borderId="17" applyNumberFormat="0" applyFill="0" applyProtection="0">
      <alignment horizontal="center"/>
    </xf>
    <xf numFmtId="0" fontId="39" fillId="0" borderId="0" applyNumberFormat="0" applyFill="0" applyBorder="0" applyProtection="0">
      <alignment horizontal="left"/>
    </xf>
    <xf numFmtId="0" fontId="40" fillId="0" borderId="0" applyNumberFormat="0" applyFill="0" applyBorder="0" applyProtection="0">
      <alignment horizontal="centerContinuous"/>
    </xf>
    <xf numFmtId="0" fontId="19" fillId="0" borderId="0"/>
    <xf numFmtId="0" fontId="30" fillId="0" borderId="0">
      <alignment vertical="top"/>
    </xf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1" fillId="0" borderId="0">
      <alignment vertical="center"/>
    </xf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2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0" fontId="43" fillId="0" borderId="0">
      <protection locked="0"/>
    </xf>
    <xf numFmtId="170" fontId="43" fillId="0" borderId="0">
      <protection locked="0"/>
    </xf>
    <xf numFmtId="170" fontId="43" fillId="0" borderId="0">
      <protection locked="0"/>
    </xf>
    <xf numFmtId="177" fontId="44" fillId="0" borderId="18">
      <alignment horizontal="left"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178" fontId="45" fillId="0" borderId="0"/>
    <xf numFmtId="0" fontId="19" fillId="0" borderId="0"/>
    <xf numFmtId="0" fontId="41" fillId="0" borderId="0">
      <alignment vertical="center"/>
    </xf>
    <xf numFmtId="0" fontId="46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3" fillId="0" borderId="19">
      <protection locked="0"/>
    </xf>
    <xf numFmtId="0" fontId="48" fillId="0" borderId="0"/>
    <xf numFmtId="179" fontId="49" fillId="0" borderId="0">
      <alignment horizontal="center"/>
    </xf>
    <xf numFmtId="180" fontId="37" fillId="0" borderId="0">
      <alignment horizontal="center"/>
    </xf>
    <xf numFmtId="179" fontId="49" fillId="0" borderId="0">
      <alignment horizontal="center"/>
    </xf>
    <xf numFmtId="37" fontId="49" fillId="0" borderId="1"/>
    <xf numFmtId="3" fontId="50" fillId="0" borderId="20">
      <alignment wrapText="1"/>
    </xf>
    <xf numFmtId="0" fontId="51" fillId="38" borderId="0"/>
    <xf numFmtId="0" fontId="2" fillId="10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18" fillId="40" borderId="0" applyNumberFormat="0" applyBorder="0" applyAlignment="0" applyProtection="0"/>
    <xf numFmtId="0" fontId="2" fillId="14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18" fillId="42" borderId="0" applyNumberFormat="0" applyBorder="0" applyAlignment="0" applyProtection="0"/>
    <xf numFmtId="0" fontId="2" fillId="18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18" fillId="44" borderId="0" applyNumberFormat="0" applyBorder="0" applyAlignment="0" applyProtection="0"/>
    <xf numFmtId="0" fontId="2" fillId="22" borderId="0" applyNumberFormat="0" applyBorder="0" applyAlignment="0" applyProtection="0"/>
    <xf numFmtId="0" fontId="52" fillId="39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6" borderId="0" applyNumberFormat="0" applyBorder="0" applyAlignment="0" applyProtection="0"/>
    <xf numFmtId="0" fontId="52" fillId="46" borderId="0" applyNumberFormat="0" applyBorder="0" applyAlignment="0" applyProtection="0"/>
    <xf numFmtId="0" fontId="52" fillId="46" borderId="0" applyNumberFormat="0" applyBorder="0" applyAlignment="0" applyProtection="0"/>
    <xf numFmtId="0" fontId="18" fillId="46" borderId="0" applyNumberFormat="0" applyBorder="0" applyAlignment="0" applyProtection="0"/>
    <xf numFmtId="0" fontId="2" fillId="30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0" borderId="0" applyNumberFormat="0" applyBorder="0" applyAlignment="0" applyProtection="0"/>
    <xf numFmtId="0" fontId="53" fillId="10" borderId="0" applyNumberFormat="0" applyBorder="0" applyAlignment="0" applyProtection="0"/>
    <xf numFmtId="0" fontId="18" fillId="42" borderId="0" applyNumberFormat="0" applyBorder="0" applyAlignment="0" applyProtection="0"/>
    <xf numFmtId="0" fontId="53" fillId="14" borderId="0" applyNumberFormat="0" applyBorder="0" applyAlignment="0" applyProtection="0"/>
    <xf numFmtId="0" fontId="18" fillId="44" borderId="0" applyNumberFormat="0" applyBorder="0" applyAlignment="0" applyProtection="0"/>
    <xf numFmtId="0" fontId="53" fillId="18" borderId="0" applyNumberFormat="0" applyBorder="0" applyAlignment="0" applyProtection="0"/>
    <xf numFmtId="0" fontId="18" fillId="45" borderId="0" applyNumberFormat="0" applyBorder="0" applyAlignment="0" applyProtection="0"/>
    <xf numFmtId="0" fontId="53" fillId="22" borderId="0" applyNumberFormat="0" applyBorder="0" applyAlignment="0" applyProtection="0"/>
    <xf numFmtId="0" fontId="18" fillId="46" borderId="0" applyNumberFormat="0" applyBorder="0" applyAlignment="0" applyProtection="0"/>
    <xf numFmtId="0" fontId="53" fillId="26" borderId="0" applyNumberFormat="0" applyBorder="0" applyAlignment="0" applyProtection="0"/>
    <xf numFmtId="0" fontId="18" fillId="41" borderId="0" applyNumberFormat="0" applyBorder="0" applyAlignment="0" applyProtection="0"/>
    <xf numFmtId="0" fontId="53" fillId="30" borderId="0" applyNumberFormat="0" applyBorder="0" applyAlignment="0" applyProtection="0"/>
    <xf numFmtId="177" fontId="44" fillId="0" borderId="18">
      <alignment horizontal="left" vertical="center"/>
    </xf>
    <xf numFmtId="0" fontId="2" fillId="11" borderId="0" applyNumberFormat="0" applyBorder="0" applyAlignment="0" applyProtection="0"/>
    <xf numFmtId="0" fontId="52" fillId="47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15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18" fillId="49" borderId="0" applyNumberFormat="0" applyBorder="0" applyAlignment="0" applyProtection="0"/>
    <xf numFmtId="0" fontId="2" fillId="19" borderId="0" applyNumberFormat="0" applyBorder="0" applyAlignment="0" applyProtection="0"/>
    <xf numFmtId="0" fontId="52" fillId="50" borderId="0" applyNumberFormat="0" applyBorder="0" applyAlignment="0" applyProtection="0"/>
    <xf numFmtId="0" fontId="52" fillId="51" borderId="0" applyNumberFormat="0" applyBorder="0" applyAlignment="0" applyProtection="0"/>
    <xf numFmtId="0" fontId="18" fillId="51" borderId="0" applyNumberFormat="0" applyBorder="0" applyAlignment="0" applyProtection="0"/>
    <xf numFmtId="0" fontId="2" fillId="23" borderId="0" applyNumberFormat="0" applyBorder="0" applyAlignment="0" applyProtection="0"/>
    <xf numFmtId="0" fontId="52" fillId="47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7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31" borderId="0" applyNumberFormat="0" applyBorder="0" applyAlignment="0" applyProtection="0"/>
    <xf numFmtId="0" fontId="52" fillId="41" borderId="0" applyNumberFormat="0" applyBorder="0" applyAlignment="0" applyProtection="0"/>
    <xf numFmtId="0" fontId="52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48" borderId="0" applyNumberFormat="0" applyBorder="0" applyAlignment="0" applyProtection="0"/>
    <xf numFmtId="0" fontId="53" fillId="11" borderId="0" applyNumberFormat="0" applyBorder="0" applyAlignment="0" applyProtection="0"/>
    <xf numFmtId="0" fontId="18" fillId="49" borderId="0" applyNumberFormat="0" applyBorder="0" applyAlignment="0" applyProtection="0"/>
    <xf numFmtId="0" fontId="53" fillId="15" borderId="0" applyNumberFormat="0" applyBorder="0" applyAlignment="0" applyProtection="0"/>
    <xf numFmtId="0" fontId="18" fillId="51" borderId="0" applyNumberFormat="0" applyBorder="0" applyAlignment="0" applyProtection="0"/>
    <xf numFmtId="0" fontId="53" fillId="19" borderId="0" applyNumberFormat="0" applyBorder="0" applyAlignment="0" applyProtection="0"/>
    <xf numFmtId="0" fontId="18" fillId="45" borderId="0" applyNumberFormat="0" applyBorder="0" applyAlignment="0" applyProtection="0"/>
    <xf numFmtId="0" fontId="53" fillId="23" borderId="0" applyNumberFormat="0" applyBorder="0" applyAlignment="0" applyProtection="0"/>
    <xf numFmtId="0" fontId="18" fillId="48" borderId="0" applyNumberFormat="0" applyBorder="0" applyAlignment="0" applyProtection="0"/>
    <xf numFmtId="0" fontId="53" fillId="27" borderId="0" applyNumberFormat="0" applyBorder="0" applyAlignment="0" applyProtection="0"/>
    <xf numFmtId="0" fontId="18" fillId="52" borderId="0" applyNumberFormat="0" applyBorder="0" applyAlignment="0" applyProtection="0"/>
    <xf numFmtId="0" fontId="53" fillId="31" borderId="0" applyNumberFormat="0" applyBorder="0" applyAlignment="0" applyProtection="0"/>
    <xf numFmtId="4" fontId="54" fillId="0" borderId="1">
      <alignment horizontal="right" vertical="top"/>
    </xf>
    <xf numFmtId="0" fontId="17" fillId="12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6" fillId="54" borderId="0" applyNumberFormat="0" applyBorder="0" applyAlignment="0" applyProtection="0"/>
    <xf numFmtId="0" fontId="17" fillId="16" borderId="0" applyNumberFormat="0" applyBorder="0" applyAlignment="0" applyProtection="0"/>
    <xf numFmtId="0" fontId="55" fillId="49" borderId="0" applyNumberFormat="0" applyBorder="0" applyAlignment="0" applyProtection="0"/>
    <xf numFmtId="0" fontId="55" fillId="49" borderId="0" applyNumberFormat="0" applyBorder="0" applyAlignment="0" applyProtection="0"/>
    <xf numFmtId="0" fontId="56" fillId="49" borderId="0" applyNumberFormat="0" applyBorder="0" applyAlignment="0" applyProtection="0"/>
    <xf numFmtId="0" fontId="17" fillId="20" borderId="0" applyNumberFormat="0" applyBorder="0" applyAlignment="0" applyProtection="0"/>
    <xf numFmtId="0" fontId="55" fillId="50" borderId="0" applyNumberFormat="0" applyBorder="0" applyAlignment="0" applyProtection="0"/>
    <xf numFmtId="0" fontId="55" fillId="51" borderId="0" applyNumberFormat="0" applyBorder="0" applyAlignment="0" applyProtection="0"/>
    <xf numFmtId="0" fontId="56" fillId="51" borderId="0" applyNumberFormat="0" applyBorder="0" applyAlignment="0" applyProtection="0"/>
    <xf numFmtId="0" fontId="17" fillId="24" borderId="0" applyNumberFormat="0" applyBorder="0" applyAlignment="0" applyProtection="0"/>
    <xf numFmtId="0" fontId="55" fillId="4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32" borderId="0" applyNumberFormat="0" applyBorder="0" applyAlignment="0" applyProtection="0"/>
    <xf numFmtId="0" fontId="55" fillId="41" borderId="0" applyNumberFormat="0" applyBorder="0" applyAlignment="0" applyProtection="0"/>
    <xf numFmtId="0" fontId="55" fillId="56" borderId="0" applyNumberFormat="0" applyBorder="0" applyAlignment="0" applyProtection="0"/>
    <xf numFmtId="0" fontId="56" fillId="56" borderId="0" applyNumberFormat="0" applyBorder="0" applyAlignment="0" applyProtection="0"/>
    <xf numFmtId="0" fontId="56" fillId="54" borderId="0" applyNumberFormat="0" applyBorder="0" applyAlignment="0" applyProtection="0"/>
    <xf numFmtId="0" fontId="57" fillId="12" borderId="0" applyNumberFormat="0" applyBorder="0" applyAlignment="0" applyProtection="0"/>
    <xf numFmtId="0" fontId="56" fillId="49" borderId="0" applyNumberFormat="0" applyBorder="0" applyAlignment="0" applyProtection="0"/>
    <xf numFmtId="0" fontId="57" fillId="16" borderId="0" applyNumberFormat="0" applyBorder="0" applyAlignment="0" applyProtection="0"/>
    <xf numFmtId="0" fontId="56" fillId="51" borderId="0" applyNumberFormat="0" applyBorder="0" applyAlignment="0" applyProtection="0"/>
    <xf numFmtId="0" fontId="57" fillId="20" borderId="0" applyNumberFormat="0" applyBorder="0" applyAlignment="0" applyProtection="0"/>
    <xf numFmtId="0" fontId="56" fillId="55" borderId="0" applyNumberFormat="0" applyBorder="0" applyAlignment="0" applyProtection="0"/>
    <xf numFmtId="0" fontId="57" fillId="24" borderId="0" applyNumberFormat="0" applyBorder="0" applyAlignment="0" applyProtection="0"/>
    <xf numFmtId="0" fontId="56" fillId="53" borderId="0" applyNumberFormat="0" applyBorder="0" applyAlignment="0" applyProtection="0"/>
    <xf numFmtId="0" fontId="57" fillId="28" borderId="0" applyNumberFormat="0" applyBorder="0" applyAlignment="0" applyProtection="0"/>
    <xf numFmtId="0" fontId="56" fillId="56" borderId="0" applyNumberFormat="0" applyBorder="0" applyAlignment="0" applyProtection="0"/>
    <xf numFmtId="0" fontId="57" fillId="32" borderId="0" applyNumberFormat="0" applyBorder="0" applyAlignment="0" applyProtection="0"/>
    <xf numFmtId="181" fontId="58" fillId="0" borderId="0" applyFont="0" applyFill="0" applyBorder="0">
      <alignment horizontal="center"/>
    </xf>
    <xf numFmtId="4" fontId="54" fillId="0" borderId="1">
      <alignment horizontal="right" vertical="top"/>
    </xf>
    <xf numFmtId="0" fontId="59" fillId="0" borderId="0">
      <alignment horizontal="right"/>
    </xf>
    <xf numFmtId="0" fontId="17" fillId="9" borderId="0" applyNumberFormat="0" applyBorder="0" applyAlignment="0" applyProtection="0"/>
    <xf numFmtId="0" fontId="18" fillId="57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9" borderId="0" applyNumberFormat="0" applyBorder="0" applyAlignment="0" applyProtection="0"/>
    <xf numFmtId="0" fontId="56" fillId="59" borderId="0" applyNumberFormat="0" applyBorder="0" applyAlignment="0" applyProtection="0"/>
    <xf numFmtId="0" fontId="17" fillId="13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56" fillId="62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4" borderId="0" applyNumberFormat="0" applyBorder="0" applyAlignment="0" applyProtection="0"/>
    <xf numFmtId="0" fontId="56" fillId="64" borderId="0" applyNumberFormat="0" applyBorder="0" applyAlignment="0" applyProtection="0"/>
    <xf numFmtId="0" fontId="17" fillId="17" borderId="0" applyNumberFormat="0" applyBorder="0" applyAlignment="0" applyProtection="0"/>
    <xf numFmtId="0" fontId="18" fillId="60" borderId="0" applyNumberFormat="0" applyBorder="0" applyAlignment="0" applyProtection="0"/>
    <xf numFmtId="0" fontId="18" fillId="65" borderId="0" applyNumberFormat="0" applyBorder="0" applyAlignment="0" applyProtection="0"/>
    <xf numFmtId="0" fontId="56" fillId="61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6" borderId="0" applyNumberFormat="0" applyBorder="0" applyAlignment="0" applyProtection="0"/>
    <xf numFmtId="0" fontId="56" fillId="66" borderId="0" applyNumberFormat="0" applyBorder="0" applyAlignment="0" applyProtection="0"/>
    <xf numFmtId="0" fontId="17" fillId="21" borderId="0" applyNumberFormat="0" applyBorder="0" applyAlignment="0" applyProtection="0"/>
    <xf numFmtId="0" fontId="18" fillId="57" borderId="0" applyNumberFormat="0" applyBorder="0" applyAlignment="0" applyProtection="0"/>
    <xf numFmtId="0" fontId="18" fillId="61" borderId="0" applyNumberFormat="0" applyBorder="0" applyAlignment="0" applyProtection="0"/>
    <xf numFmtId="0" fontId="56" fillId="61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5" borderId="0" applyNumberFormat="0" applyBorder="0" applyAlignment="0" applyProtection="0"/>
    <xf numFmtId="0" fontId="18" fillId="68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29" borderId="0" applyNumberFormat="0" applyBorder="0" applyAlignment="0" applyProtection="0"/>
    <xf numFmtId="0" fontId="18" fillId="60" borderId="0" applyNumberFormat="0" applyBorder="0" applyAlignment="0" applyProtection="0"/>
    <xf numFmtId="0" fontId="18" fillId="69" borderId="0" applyNumberFormat="0" applyBorder="0" applyAlignment="0" applyProtection="0"/>
    <xf numFmtId="0" fontId="56" fillId="69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6" fillId="70" borderId="0" applyNumberFormat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/>
    <xf numFmtId="172" fontId="21" fillId="0" borderId="0" applyFont="0" applyFill="0" applyBorder="0" applyAlignment="0" applyProtection="0"/>
    <xf numFmtId="182" fontId="62" fillId="0" borderId="0">
      <alignment horizontal="left"/>
    </xf>
    <xf numFmtId="0" fontId="63" fillId="0" borderId="16">
      <protection hidden="1"/>
    </xf>
    <xf numFmtId="0" fontId="64" fillId="0" borderId="0" applyFill="0" applyBorder="0" applyProtection="0">
      <alignment horizontal="left" vertical="top" wrapText="1"/>
    </xf>
    <xf numFmtId="0" fontId="8" fillId="3" borderId="0" applyNumberFormat="0" applyBorder="0" applyAlignment="0" applyProtection="0"/>
    <xf numFmtId="0" fontId="65" fillId="42" borderId="0" applyNumberFormat="0" applyBorder="0" applyAlignment="0" applyProtection="0"/>
    <xf numFmtId="0" fontId="66" fillId="42" borderId="0" applyNumberFormat="0" applyBorder="0" applyAlignment="0" applyProtection="0"/>
    <xf numFmtId="0" fontId="67" fillId="42" borderId="0" applyNumberFormat="0" applyBorder="0" applyAlignment="0" applyProtection="0"/>
    <xf numFmtId="0" fontId="68" fillId="71" borderId="0"/>
    <xf numFmtId="10" fontId="69" fillId="0" borderId="0" applyNumberFormat="0" applyFill="0" applyBorder="0" applyAlignment="0"/>
    <xf numFmtId="0" fontId="70" fillId="0" borderId="0" applyNumberFormat="0" applyFill="0" applyBorder="0" applyAlignment="0" applyProtection="0"/>
    <xf numFmtId="0" fontId="22" fillId="0" borderId="0" applyFill="0" applyBorder="0" applyAlignment="0"/>
    <xf numFmtId="183" fontId="71" fillId="0" borderId="0" applyFill="0" applyBorder="0" applyAlignment="0"/>
    <xf numFmtId="183" fontId="71" fillId="0" borderId="0" applyFill="0" applyBorder="0" applyAlignment="0"/>
    <xf numFmtId="183" fontId="71" fillId="0" borderId="0" applyFill="0" applyBorder="0" applyAlignment="0"/>
    <xf numFmtId="183" fontId="72" fillId="0" borderId="0" applyFill="0" applyBorder="0" applyAlignment="0"/>
    <xf numFmtId="0" fontId="22" fillId="0" borderId="0" applyFill="0" applyBorder="0" applyAlignment="0"/>
    <xf numFmtId="183" fontId="71" fillId="0" borderId="0" applyFill="0" applyBorder="0" applyAlignment="0"/>
    <xf numFmtId="184" fontId="73" fillId="0" borderId="0" applyFill="0" applyBorder="0" applyAlignment="0"/>
    <xf numFmtId="185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8" fontId="73" fillId="0" borderId="0" applyFill="0" applyBorder="0" applyAlignment="0"/>
    <xf numFmtId="189" fontId="73" fillId="0" borderId="0" applyFill="0" applyBorder="0" applyAlignment="0"/>
    <xf numFmtId="184" fontId="73" fillId="0" borderId="0" applyFill="0" applyBorder="0" applyAlignment="0"/>
    <xf numFmtId="0" fontId="12" fillId="6" borderId="9" applyNumberFormat="0" applyAlignment="0" applyProtection="0"/>
    <xf numFmtId="0" fontId="74" fillId="39" borderId="15" applyNumberFormat="0" applyAlignment="0" applyProtection="0"/>
    <xf numFmtId="0" fontId="74" fillId="47" borderId="15" applyNumberFormat="0" applyAlignment="0" applyProtection="0"/>
    <xf numFmtId="0" fontId="75" fillId="47" borderId="15" applyNumberFormat="0" applyAlignment="0" applyProtection="0"/>
    <xf numFmtId="0" fontId="76" fillId="0" borderId="0" applyNumberFormat="0" applyFill="0" applyBorder="0" applyAlignment="0" applyProtection="0">
      <alignment horizontal="left" wrapText="1"/>
    </xf>
    <xf numFmtId="0" fontId="46" fillId="0" borderId="19">
      <protection locked="0"/>
    </xf>
    <xf numFmtId="0" fontId="77" fillId="0" borderId="0" applyFill="0" applyBorder="0" applyProtection="0">
      <alignment horizontal="center"/>
      <protection locked="0"/>
    </xf>
    <xf numFmtId="0" fontId="30" fillId="0" borderId="0"/>
    <xf numFmtId="190" fontId="27" fillId="0" borderId="0" applyFont="0" applyFill="0" applyBorder="0" applyAlignment="0" applyProtection="0"/>
    <xf numFmtId="0" fontId="14" fillId="7" borderId="12" applyNumberFormat="0" applyAlignment="0" applyProtection="0"/>
    <xf numFmtId="0" fontId="68" fillId="72" borderId="21" applyNumberFormat="0" applyAlignment="0" applyProtection="0"/>
    <xf numFmtId="0" fontId="68" fillId="72" borderId="21" applyNumberFormat="0" applyAlignment="0" applyProtection="0"/>
    <xf numFmtId="0" fontId="78" fillId="72" borderId="21" applyNumberFormat="0" applyAlignment="0" applyProtection="0"/>
    <xf numFmtId="191" fontId="19" fillId="0" borderId="0" applyFont="0" applyFill="0" applyBorder="0" applyProtection="0">
      <alignment horizontal="right"/>
    </xf>
    <xf numFmtId="192" fontId="19" fillId="0" borderId="0" applyFont="0" applyFill="0" applyBorder="0" applyProtection="0">
      <alignment horizontal="right" vertical="center"/>
    </xf>
    <xf numFmtId="193" fontId="27" fillId="36" borderId="22" applyFont="0" applyFill="0" applyBorder="0" applyProtection="0">
      <alignment horizontal="right"/>
    </xf>
    <xf numFmtId="10" fontId="79" fillId="0" borderId="0">
      <alignment horizontal="right" vertical="top"/>
    </xf>
    <xf numFmtId="37" fontId="79" fillId="0" borderId="0">
      <alignment horizontal="right" vertical="top"/>
    </xf>
    <xf numFmtId="173" fontId="79" fillId="0" borderId="0">
      <alignment horizontal="right" vertical="top"/>
    </xf>
    <xf numFmtId="39" fontId="79" fillId="0" borderId="0">
      <alignment horizontal="right" vertical="top"/>
    </xf>
    <xf numFmtId="194" fontId="80" fillId="0" borderId="0"/>
    <xf numFmtId="1" fontId="81" fillId="0" borderId="1">
      <alignment horizontal="center" vertical="center"/>
    </xf>
    <xf numFmtId="195" fontId="19" fillId="0" borderId="23" applyFont="0" applyFill="0" applyBorder="0" applyProtection="0">
      <alignment horizontal="center"/>
      <protection locked="0"/>
    </xf>
    <xf numFmtId="195" fontId="19" fillId="0" borderId="23" applyFont="0" applyFill="0" applyBorder="0" applyProtection="0">
      <alignment horizontal="center"/>
      <protection locked="0"/>
    </xf>
    <xf numFmtId="195" fontId="19" fillId="0" borderId="23" applyFont="0" applyFill="0" applyBorder="0" applyProtection="0">
      <alignment horizontal="center"/>
      <protection locked="0"/>
    </xf>
    <xf numFmtId="0" fontId="82" fillId="0" borderId="0" applyNumberFormat="0" applyFill="0" applyBorder="0" applyAlignment="0" applyProtection="0"/>
    <xf numFmtId="0" fontId="71" fillId="0" borderId="16"/>
    <xf numFmtId="0" fontId="82" fillId="0" borderId="0" applyNumberFormat="0" applyFill="0" applyBorder="0" applyAlignment="0" applyProtection="0"/>
    <xf numFmtId="0" fontId="83" fillId="73" borderId="0"/>
    <xf numFmtId="171" fontId="18" fillId="0" borderId="0" applyFont="0" applyFill="0" applyBorder="0" applyAlignment="0" applyProtection="0"/>
    <xf numFmtId="169" fontId="27" fillId="0" borderId="0" applyFont="0" applyFill="0" applyBorder="0" applyAlignment="0" applyProtection="0"/>
    <xf numFmtId="188" fontId="73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200" fontId="52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85" fillId="0" borderId="0" applyFont="0" applyFill="0" applyBorder="0" applyAlignment="0" applyProtection="0"/>
    <xf numFmtId="199" fontId="19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9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9" fontId="27" fillId="0" borderId="0" applyFont="0" applyFill="0" applyBorder="0" applyAlignment="0" applyProtection="0"/>
    <xf numFmtId="202" fontId="27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99" fontId="85" fillId="0" borderId="0" applyFont="0" applyFill="0" applyBorder="0" applyAlignment="0" applyProtection="0"/>
    <xf numFmtId="199" fontId="86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199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84" fillId="0" borderId="0" applyFont="0" applyFill="0" applyBorder="0" applyAlignment="0" applyProtection="0"/>
    <xf numFmtId="165" fontId="27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165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71" fontId="37" fillId="0" borderId="0" applyFont="0" applyFill="0" applyBorder="0" applyAlignment="0" applyProtection="0"/>
    <xf numFmtId="0" fontId="19" fillId="0" borderId="0" applyFont="0" applyFill="0" applyBorder="0" applyAlignment="0" applyProtection="0"/>
    <xf numFmtId="199" fontId="2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99" fontId="85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202" fontId="87" fillId="0" borderId="0" applyFont="0" applyFill="0" applyBorder="0" applyAlignment="0" applyProtection="0"/>
    <xf numFmtId="3" fontId="88" fillId="0" borderId="0" applyFont="0" applyFill="0" applyBorder="0" applyAlignment="0" applyProtection="0"/>
    <xf numFmtId="0" fontId="20" fillId="0" borderId="0"/>
    <xf numFmtId="3" fontId="89" fillId="0" borderId="0" applyFont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184" fontId="90" fillId="0" borderId="0"/>
    <xf numFmtId="0" fontId="91" fillId="0" borderId="0" applyFill="0" applyBorder="0" applyAlignment="0" applyProtection="0">
      <protection locked="0"/>
    </xf>
    <xf numFmtId="192" fontId="92" fillId="74" borderId="0" applyNumberFormat="0" applyFont="0" applyBorder="0" applyProtection="0">
      <alignment horizontal="right" indent="1"/>
    </xf>
    <xf numFmtId="205" fontId="93" fillId="0" borderId="0" applyFill="0" applyBorder="0" applyProtection="0"/>
    <xf numFmtId="205" fontId="93" fillId="0" borderId="24" applyFill="0" applyProtection="0"/>
    <xf numFmtId="205" fontId="93" fillId="0" borderId="19" applyFill="0" applyProtection="0"/>
    <xf numFmtId="205" fontId="93" fillId="0" borderId="0" applyFill="0" applyBorder="0" applyProtection="0"/>
    <xf numFmtId="170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84" fontId="73" fillId="0" borderId="0" applyFont="0" applyFill="0" applyBorder="0" applyAlignment="0" applyProtection="0"/>
    <xf numFmtId="206" fontId="94" fillId="0" borderId="0" applyBorder="0"/>
    <xf numFmtId="0" fontId="84" fillId="0" borderId="0" applyFont="0" applyFill="0" applyBorder="0" applyAlignment="0" applyProtection="0">
      <alignment horizontal="right"/>
    </xf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37" fontId="30" fillId="0" borderId="25" applyFont="0" applyFill="0" applyBorder="0"/>
    <xf numFmtId="37" fontId="76" fillId="0" borderId="25" applyFont="0" applyFill="0" applyBorder="0">
      <protection locked="0"/>
    </xf>
    <xf numFmtId="37" fontId="95" fillId="33" borderId="1" applyFill="0" applyBorder="0" applyProtection="0"/>
    <xf numFmtId="37" fontId="76" fillId="0" borderId="25" applyFill="0" applyBorder="0">
      <protection locked="0"/>
    </xf>
    <xf numFmtId="210" fontId="88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96" fillId="0" borderId="0"/>
    <xf numFmtId="0" fontId="97" fillId="0" borderId="0" applyNumberFormat="0" applyAlignment="0"/>
    <xf numFmtId="0" fontId="88" fillId="0" borderId="0" applyFont="0" applyFill="0" applyBorder="0" applyAlignment="0" applyProtection="0"/>
    <xf numFmtId="211" fontId="27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84" fillId="0" borderId="0" applyFont="0" applyFill="0" applyBorder="0" applyAlignment="0" applyProtection="0"/>
    <xf numFmtId="15" fontId="98" fillId="0" borderId="26" applyFont="0" applyFill="0" applyBorder="0" applyAlignment="0">
      <alignment horizontal="centerContinuous"/>
    </xf>
    <xf numFmtId="212" fontId="98" fillId="0" borderId="26" applyFont="0" applyFill="0" applyBorder="0" applyAlignment="0">
      <alignment horizontal="centerContinuous"/>
    </xf>
    <xf numFmtId="14" fontId="85" fillId="0" borderId="0" applyFill="0" applyBorder="0" applyAlignment="0"/>
    <xf numFmtId="213" fontId="99" fillId="0" borderId="0" applyFont="0" applyFill="0" applyBorder="0" applyAlignment="0" applyProtection="0"/>
    <xf numFmtId="17" fontId="19" fillId="33" borderId="27">
      <alignment horizontal="center"/>
    </xf>
    <xf numFmtId="0" fontId="46" fillId="0" borderId="0">
      <protection locked="0"/>
    </xf>
    <xf numFmtId="168" fontId="100" fillId="0" borderId="0"/>
    <xf numFmtId="214" fontId="100" fillId="0" borderId="0"/>
    <xf numFmtId="208" fontId="93" fillId="0" borderId="0" applyFill="0" applyBorder="0" applyProtection="0"/>
    <xf numFmtId="208" fontId="93" fillId="0" borderId="24" applyFill="0" applyProtection="0"/>
    <xf numFmtId="208" fontId="93" fillId="0" borderId="19" applyFill="0" applyProtection="0"/>
    <xf numFmtId="208" fontId="93" fillId="0" borderId="0" applyFill="0" applyBorder="0" applyProtection="0"/>
    <xf numFmtId="38" fontId="51" fillId="0" borderId="28">
      <alignment vertical="center"/>
    </xf>
    <xf numFmtId="38" fontId="51" fillId="0" borderId="28">
      <alignment vertical="center"/>
    </xf>
    <xf numFmtId="38" fontId="51" fillId="0" borderId="28">
      <alignment vertical="center"/>
    </xf>
    <xf numFmtId="38" fontId="51" fillId="0" borderId="28">
      <alignment vertical="center"/>
    </xf>
    <xf numFmtId="38" fontId="21" fillId="0" borderId="28">
      <alignment vertical="center"/>
    </xf>
    <xf numFmtId="38" fontId="51" fillId="0" borderId="28">
      <alignment vertical="center"/>
    </xf>
    <xf numFmtId="215" fontId="101" fillId="75" borderId="0" applyNumberFormat="0" applyBorder="0" applyAlignment="0" applyProtection="0"/>
    <xf numFmtId="216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168" fontId="93" fillId="0" borderId="0"/>
    <xf numFmtId="184" fontId="102" fillId="0" borderId="0">
      <alignment horizontal="center"/>
    </xf>
    <xf numFmtId="0" fontId="84" fillId="0" borderId="29" applyNumberFormat="0" applyFont="0" applyFill="0" applyAlignment="0" applyProtection="0"/>
    <xf numFmtId="0" fontId="86" fillId="76" borderId="0"/>
    <xf numFmtId="37" fontId="103" fillId="77" borderId="0">
      <protection locked="0"/>
    </xf>
    <xf numFmtId="38" fontId="51" fillId="0" borderId="0" applyFont="0" applyFill="0" applyBorder="0" applyAlignment="0" applyProtection="0"/>
    <xf numFmtId="218" fontId="19" fillId="0" borderId="0" applyFont="0" applyFill="0" applyBorder="0" applyAlignment="0" applyProtection="0"/>
    <xf numFmtId="0" fontId="104" fillId="0" borderId="0" applyFont="0" applyFill="0" applyBorder="0" applyAlignment="0" applyProtection="0"/>
    <xf numFmtId="219" fontId="19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3" fontId="19" fillId="0" borderId="1"/>
    <xf numFmtId="0" fontId="106" fillId="78" borderId="0" applyNumberFormat="0" applyBorder="0" applyAlignment="0" applyProtection="0"/>
    <xf numFmtId="0" fontId="106" fillId="79" borderId="0" applyNumberFormat="0" applyBorder="0" applyAlignment="0" applyProtection="0"/>
    <xf numFmtId="0" fontId="106" fillId="80" borderId="0" applyNumberFormat="0" applyBorder="0" applyAlignment="0" applyProtection="0"/>
    <xf numFmtId="188" fontId="73" fillId="0" borderId="0" applyFill="0" applyBorder="0" applyAlignment="0"/>
    <xf numFmtId="184" fontId="73" fillId="0" borderId="0" applyFill="0" applyBorder="0" applyAlignment="0"/>
    <xf numFmtId="188" fontId="73" fillId="0" borderId="0" applyFill="0" applyBorder="0" applyAlignment="0"/>
    <xf numFmtId="189" fontId="73" fillId="0" borderId="0" applyFill="0" applyBorder="0" applyAlignment="0"/>
    <xf numFmtId="184" fontId="73" fillId="0" borderId="0" applyFill="0" applyBorder="0" applyAlignment="0"/>
    <xf numFmtId="0" fontId="107" fillId="0" borderId="0"/>
    <xf numFmtId="220" fontId="37" fillId="0" borderId="0" applyFont="0" applyFill="0" applyBorder="0" applyAlignment="0" applyProtection="0"/>
    <xf numFmtId="221" fontId="19" fillId="0" borderId="0" applyFont="0" applyFill="0" applyBorder="0" applyAlignment="0" applyProtection="0"/>
    <xf numFmtId="221" fontId="19" fillId="0" borderId="0" applyFont="0" applyFill="0" applyBorder="0" applyAlignment="0" applyProtection="0"/>
    <xf numFmtId="220" fontId="37" fillId="0" borderId="0" applyFont="0" applyFill="0" applyBorder="0" applyAlignment="0" applyProtection="0"/>
    <xf numFmtId="221" fontId="19" fillId="0" borderId="0" applyFont="0" applyFill="0" applyBorder="0" applyAlignment="0" applyProtection="0"/>
    <xf numFmtId="221" fontId="19" fillId="0" borderId="0" applyFont="0" applyFill="0" applyBorder="0" applyAlignment="0" applyProtection="0"/>
    <xf numFmtId="220" fontId="37" fillId="0" borderId="0" applyFont="0" applyFill="0" applyBorder="0" applyAlignment="0" applyProtection="0"/>
    <xf numFmtId="221" fontId="19" fillId="0" borderId="0" applyFont="0" applyFill="0" applyBorder="0" applyAlignment="0" applyProtection="0"/>
    <xf numFmtId="221" fontId="27" fillId="0" borderId="0" applyFont="0" applyFill="0" applyBorder="0" applyAlignment="0" applyProtection="0"/>
    <xf numFmtId="220" fontId="37" fillId="0" borderId="0" applyFont="0" applyFill="0" applyBorder="0" applyAlignment="0" applyProtection="0"/>
    <xf numFmtId="221" fontId="86" fillId="0" borderId="0" applyFont="0" applyFill="0" applyBorder="0" applyAlignment="0" applyProtection="0"/>
    <xf numFmtId="221" fontId="86" fillId="0" borderId="0" applyFont="0" applyFill="0" applyBorder="0" applyAlignment="0" applyProtection="0"/>
    <xf numFmtId="222" fontId="27" fillId="0" borderId="0" applyFill="0" applyBorder="0" applyAlignment="0" applyProtection="0"/>
    <xf numFmtId="37" fontId="19" fillId="0" borderId="0"/>
    <xf numFmtId="0" fontId="16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178" fontId="45" fillId="0" borderId="30">
      <alignment horizontal="center" vertical="top"/>
    </xf>
    <xf numFmtId="49" fontId="45" fillId="0" borderId="0" applyNumberFormat="0" applyFill="0" applyBorder="0" applyProtection="0">
      <alignment horizontal="center" vertical="top"/>
    </xf>
    <xf numFmtId="0" fontId="19" fillId="0" borderId="0">
      <alignment horizontal="left"/>
    </xf>
    <xf numFmtId="0" fontId="110" fillId="0" borderId="0" applyFont="0" applyBorder="0" applyAlignment="0"/>
    <xf numFmtId="223" fontId="111" fillId="0" borderId="0" applyBorder="0">
      <alignment horizontal="right" vertical="top"/>
    </xf>
    <xf numFmtId="224" fontId="45" fillId="0" borderId="0" applyBorder="0">
      <alignment horizontal="right" vertical="top"/>
    </xf>
    <xf numFmtId="224" fontId="111" fillId="0" borderId="0" applyBorder="0">
      <alignment horizontal="right" vertical="top"/>
    </xf>
    <xf numFmtId="225" fontId="73" fillId="0" borderId="0" applyFill="0" applyBorder="0">
      <alignment horizontal="right" vertical="top"/>
    </xf>
    <xf numFmtId="226" fontId="45" fillId="0" borderId="0" applyFill="0" applyBorder="0">
      <alignment horizontal="right" vertical="top"/>
    </xf>
    <xf numFmtId="226" fontId="45" fillId="0" borderId="0">
      <alignment horizontal="right" vertical="top"/>
    </xf>
    <xf numFmtId="227" fontId="45" fillId="0" borderId="0" applyFill="0" applyBorder="0">
      <alignment horizontal="right" vertical="top"/>
    </xf>
    <xf numFmtId="228" fontId="45" fillId="0" borderId="0" applyFill="0" applyBorder="0">
      <alignment horizontal="right" vertical="top"/>
    </xf>
    <xf numFmtId="229" fontId="45" fillId="0" borderId="0" applyFill="0" applyBorder="0">
      <alignment horizontal="right" vertical="top"/>
    </xf>
    <xf numFmtId="0" fontId="86" fillId="72" borderId="0" applyNumberFormat="0" applyFont="0" applyBorder="0" applyAlignment="0" applyProtection="0"/>
    <xf numFmtId="0" fontId="112" fillId="0" borderId="0" applyNumberFormat="0" applyFill="0" applyBorder="0" applyAlignment="0" applyProtection="0"/>
    <xf numFmtId="0" fontId="113" fillId="0" borderId="0">
      <alignment horizontal="left"/>
    </xf>
    <xf numFmtId="230" fontId="114" fillId="0" borderId="0" applyFill="0" applyBorder="0"/>
    <xf numFmtId="0" fontId="113" fillId="0" borderId="31">
      <alignment horizontal="right" wrapText="1"/>
    </xf>
    <xf numFmtId="0" fontId="115" fillId="0" borderId="18">
      <alignment horizontal="right" wrapText="1"/>
    </xf>
    <xf numFmtId="0" fontId="113" fillId="0" borderId="31">
      <alignment horizontal="right" wrapText="1"/>
    </xf>
    <xf numFmtId="0" fontId="115" fillId="0" borderId="18">
      <alignment horizontal="right" wrapText="1"/>
    </xf>
    <xf numFmtId="177" fontId="116" fillId="0" borderId="31">
      <alignment horizontal="right"/>
    </xf>
    <xf numFmtId="0" fontId="117" fillId="0" borderId="0">
      <alignment vertical="center"/>
    </xf>
    <xf numFmtId="231" fontId="117" fillId="0" borderId="0">
      <alignment horizontal="left" vertical="center"/>
    </xf>
    <xf numFmtId="232" fontId="118" fillId="0" borderId="0">
      <alignment vertical="center"/>
    </xf>
    <xf numFmtId="0" fontId="119" fillId="0" borderId="0">
      <alignment vertical="center"/>
    </xf>
    <xf numFmtId="177" fontId="116" fillId="0" borderId="31">
      <alignment horizontal="left"/>
    </xf>
    <xf numFmtId="15" fontId="85" fillId="0" borderId="0" applyFill="0" applyBorder="0" applyProtection="0">
      <alignment horizontal="center"/>
    </xf>
    <xf numFmtId="0" fontId="86" fillId="42" borderId="0" applyNumberFormat="0" applyFont="0" applyBorder="0" applyAlignment="0" applyProtection="0"/>
    <xf numFmtId="233" fontId="120" fillId="47" borderId="2" applyAlignment="0" applyProtection="0"/>
    <xf numFmtId="0" fontId="121" fillId="0" borderId="0" applyNumberFormat="0" applyFill="0" applyBorder="0" applyAlignment="0" applyProtection="0"/>
    <xf numFmtId="234" fontId="122" fillId="0" borderId="0" applyNumberFormat="0" applyFill="0" applyBorder="0" applyAlignment="0" applyProtection="0"/>
    <xf numFmtId="177" fontId="123" fillId="0" borderId="0" applyFill="0" applyBorder="0">
      <alignment vertical="top"/>
    </xf>
    <xf numFmtId="177" fontId="124" fillId="0" borderId="0" applyFill="0" applyBorder="0" applyProtection="0">
      <alignment vertical="top"/>
    </xf>
    <xf numFmtId="177" fontId="125" fillId="0" borderId="0">
      <alignment vertical="top"/>
    </xf>
    <xf numFmtId="15" fontId="126" fillId="50" borderId="32">
      <alignment horizontal="center"/>
      <protection locked="0"/>
    </xf>
    <xf numFmtId="235" fontId="126" fillId="50" borderId="33" applyAlignment="0">
      <protection locked="0"/>
    </xf>
    <xf numFmtId="234" fontId="126" fillId="50" borderId="33" applyAlignment="0">
      <protection locked="0"/>
    </xf>
    <xf numFmtId="234" fontId="85" fillId="0" borderId="0" applyFill="0" applyBorder="0" applyAlignment="0" applyProtection="0"/>
    <xf numFmtId="177" fontId="45" fillId="0" borderId="0">
      <alignment horizontal="center"/>
    </xf>
    <xf numFmtId="177" fontId="127" fillId="0" borderId="31">
      <alignment horizontal="center"/>
    </xf>
    <xf numFmtId="177" fontId="128" fillId="0" borderId="18">
      <alignment horizontal="center"/>
    </xf>
    <xf numFmtId="169" fontId="73" fillId="0" borderId="0" applyFill="0" applyBorder="0" applyAlignment="0" applyProtection="0">
      <alignment horizontal="right" vertical="top"/>
    </xf>
    <xf numFmtId="164" fontId="45" fillId="0" borderId="31" applyFill="0" applyBorder="0" applyProtection="0">
      <alignment horizontal="right" vertical="top"/>
    </xf>
    <xf numFmtId="235" fontId="85" fillId="0" borderId="0" applyFill="0" applyBorder="0" applyAlignment="0" applyProtection="0"/>
    <xf numFmtId="236" fontId="85" fillId="0" borderId="0" applyFill="0" applyBorder="0" applyAlignment="0" applyProtection="0"/>
    <xf numFmtId="231" fontId="129" fillId="0" borderId="0">
      <alignment horizontal="left" vertical="center"/>
    </xf>
    <xf numFmtId="177" fontId="129" fillId="0" borderId="0"/>
    <xf numFmtId="177" fontId="130" fillId="0" borderId="0"/>
    <xf numFmtId="177" fontId="131" fillId="0" borderId="0"/>
    <xf numFmtId="177" fontId="132" fillId="0" borderId="0"/>
    <xf numFmtId="177" fontId="27" fillId="0" borderId="0"/>
    <xf numFmtId="177" fontId="133" fillId="0" borderId="0">
      <alignment horizontal="left" vertical="top"/>
    </xf>
    <xf numFmtId="0" fontId="86" fillId="0" borderId="34" applyNumberFormat="0" applyFont="0" applyAlignment="0" applyProtection="0"/>
    <xf numFmtId="0" fontId="45" fillId="0" borderId="0" applyFill="0" applyBorder="0">
      <alignment horizontal="left" vertical="top" wrapText="1"/>
    </xf>
    <xf numFmtId="0" fontId="45" fillId="0" borderId="0" applyFill="0" applyBorder="0">
      <alignment horizontal="left" vertical="top" wrapText="1"/>
    </xf>
    <xf numFmtId="0" fontId="134" fillId="0" borderId="0">
      <alignment horizontal="left" vertical="top" wrapText="1"/>
    </xf>
    <xf numFmtId="0" fontId="135" fillId="0" borderId="0">
      <alignment horizontal="left" vertical="top" wrapText="1"/>
    </xf>
    <xf numFmtId="0" fontId="111" fillId="0" borderId="0">
      <alignment horizontal="left" vertical="top" wrapText="1"/>
    </xf>
    <xf numFmtId="0" fontId="86" fillId="0" borderId="35" applyNumberFormat="0" applyFont="0" applyAlignment="0" applyProtection="0"/>
    <xf numFmtId="0" fontId="86" fillId="51" borderId="0" applyNumberFormat="0" applyFont="0" applyBorder="0" applyAlignment="0" applyProtection="0"/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0" fontId="46" fillId="0" borderId="0">
      <protection locked="0"/>
    </xf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237" fontId="27" fillId="0" borderId="0" applyFont="0" applyFill="0" applyBorder="0" applyAlignment="0" applyProtection="0"/>
    <xf numFmtId="0" fontId="86" fillId="0" borderId="0"/>
    <xf numFmtId="39" fontId="49" fillId="81" borderId="1"/>
    <xf numFmtId="199" fontId="139" fillId="0" borderId="0"/>
    <xf numFmtId="40" fontId="27" fillId="0" borderId="0" applyNumberFormat="0">
      <alignment horizontal="right"/>
    </xf>
    <xf numFmtId="2" fontId="88" fillId="0" borderId="0" applyFont="0" applyFill="0" applyBorder="0" applyAlignment="0" applyProtection="0"/>
    <xf numFmtId="184" fontId="1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41" fillId="0" borderId="0">
      <alignment vertical="center"/>
    </xf>
    <xf numFmtId="0" fontId="41" fillId="0" borderId="0">
      <alignment vertical="center"/>
    </xf>
    <xf numFmtId="0" fontId="142" fillId="0" borderId="0" applyFill="0" applyBorder="0" applyProtection="0">
      <alignment horizontal="left"/>
    </xf>
    <xf numFmtId="37" fontId="27" fillId="0" borderId="1"/>
    <xf numFmtId="37" fontId="110" fillId="0" borderId="1"/>
    <xf numFmtId="37" fontId="49" fillId="0" borderId="1"/>
    <xf numFmtId="238" fontId="49" fillId="0" borderId="1"/>
    <xf numFmtId="215" fontId="126" fillId="0" borderId="0" applyNumberFormat="0" applyFill="0" applyBorder="0" applyAlignment="0" applyProtection="0"/>
    <xf numFmtId="0" fontId="86" fillId="0" borderId="0" applyFont="0" applyFill="0" applyBorder="0" applyAlignment="0" applyProtection="0"/>
    <xf numFmtId="0" fontId="72" fillId="0" borderId="1" applyNumberFormat="0" applyAlignment="0">
      <alignment horizontal="right"/>
      <protection locked="0"/>
    </xf>
    <xf numFmtId="0" fontId="7" fillId="2" borderId="0" applyNumberFormat="0" applyBorder="0" applyAlignment="0" applyProtection="0"/>
    <xf numFmtId="0" fontId="143" fillId="44" borderId="0" applyNumberFormat="0" applyBorder="0" applyAlignment="0" applyProtection="0"/>
    <xf numFmtId="0" fontId="143" fillId="44" borderId="0" applyNumberFormat="0" applyBorder="0" applyAlignment="0" applyProtection="0"/>
    <xf numFmtId="0" fontId="144" fillId="44" borderId="0" applyNumberFormat="0" applyBorder="0" applyAlignment="0" applyProtection="0"/>
    <xf numFmtId="0" fontId="145" fillId="74" borderId="36"/>
    <xf numFmtId="38" fontId="72" fillId="33" borderId="0" applyNumberFormat="0" applyBorder="0" applyAlignment="0" applyProtection="0"/>
    <xf numFmtId="0" fontId="146" fillId="0" borderId="0">
      <alignment horizontal="left" vertical="top"/>
    </xf>
    <xf numFmtId="238" fontId="27" fillId="74" borderId="1" applyNumberFormat="0" applyFont="0" applyBorder="0" applyAlignment="0" applyProtection="0"/>
    <xf numFmtId="0" fontId="84" fillId="0" borderId="0" applyFont="0" applyFill="0" applyBorder="0" applyAlignment="0" applyProtection="0">
      <alignment horizontal="right"/>
    </xf>
    <xf numFmtId="173" fontId="147" fillId="74" borderId="0" applyNumberFormat="0" applyFont="0" applyAlignment="0"/>
    <xf numFmtId="0" fontId="148" fillId="0" borderId="0" applyProtection="0">
      <alignment horizontal="right"/>
    </xf>
    <xf numFmtId="0" fontId="149" fillId="0" borderId="37" applyNumberFormat="0" applyAlignment="0" applyProtection="0">
      <alignment horizontal="left" vertical="center"/>
    </xf>
    <xf numFmtId="0" fontId="149" fillId="0" borderId="2">
      <alignment horizontal="left" vertical="center"/>
    </xf>
    <xf numFmtId="14" fontId="101" fillId="82" borderId="27">
      <alignment horizontal="center" vertical="center" wrapText="1"/>
    </xf>
    <xf numFmtId="0" fontId="4" fillId="0" borderId="6" applyNumberFormat="0" applyFill="0" applyAlignment="0" applyProtection="0"/>
    <xf numFmtId="0" fontId="150" fillId="0" borderId="38" applyNumberFormat="0" applyFill="0" applyAlignment="0" applyProtection="0"/>
    <xf numFmtId="0" fontId="151" fillId="0" borderId="0" applyNumberFormat="0" applyFill="0" applyBorder="0" applyAlignment="0" applyProtection="0"/>
    <xf numFmtId="0" fontId="152" fillId="0" borderId="39" applyNumberFormat="0" applyFill="0" applyAlignment="0" applyProtection="0"/>
    <xf numFmtId="0" fontId="153" fillId="0" borderId="39" applyNumberFormat="0" applyFill="0" applyAlignment="0" applyProtection="0"/>
    <xf numFmtId="0" fontId="5" fillId="0" borderId="7" applyNumberFormat="0" applyFill="0" applyAlignment="0" applyProtection="0"/>
    <xf numFmtId="0" fontId="154" fillId="0" borderId="40" applyNumberFormat="0" applyFill="0" applyAlignment="0" applyProtection="0"/>
    <xf numFmtId="0" fontId="155" fillId="0" borderId="0" applyNumberFormat="0" applyFill="0" applyBorder="0" applyAlignment="0" applyProtection="0"/>
    <xf numFmtId="0" fontId="156" fillId="0" borderId="40" applyNumberFormat="0" applyFill="0" applyAlignment="0" applyProtection="0"/>
    <xf numFmtId="0" fontId="157" fillId="0" borderId="40" applyNumberFormat="0" applyFill="0" applyAlignment="0" applyProtection="0"/>
    <xf numFmtId="0" fontId="6" fillId="0" borderId="8" applyNumberFormat="0" applyFill="0" applyAlignment="0" applyProtection="0"/>
    <xf numFmtId="0" fontId="158" fillId="0" borderId="41" applyNumberFormat="0" applyFill="0" applyAlignment="0" applyProtection="0"/>
    <xf numFmtId="0" fontId="159" fillId="0" borderId="0" applyProtection="0">
      <alignment horizontal="left"/>
    </xf>
    <xf numFmtId="0" fontId="160" fillId="0" borderId="42" applyNumberFormat="0" applyFill="0" applyAlignment="0" applyProtection="0"/>
    <xf numFmtId="0" fontId="161" fillId="0" borderId="42" applyNumberFormat="0" applyFill="0" applyAlignment="0" applyProtection="0"/>
    <xf numFmtId="0" fontId="6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37" fontId="163" fillId="0" borderId="0"/>
    <xf numFmtId="0" fontId="77" fillId="0" borderId="0" applyFill="0" applyAlignment="0" applyProtection="0">
      <protection locked="0"/>
    </xf>
    <xf numFmtId="0" fontId="77" fillId="0" borderId="43" applyFill="0" applyAlignment="0" applyProtection="0">
      <protection locked="0"/>
    </xf>
    <xf numFmtId="2" fontId="164" fillId="83" borderId="0" applyAlignment="0">
      <alignment horizontal="right"/>
      <protection locked="0"/>
    </xf>
    <xf numFmtId="0" fontId="165" fillId="0" borderId="0"/>
    <xf numFmtId="0" fontId="119" fillId="0" borderId="0"/>
    <xf numFmtId="0" fontId="165" fillId="0" borderId="0"/>
    <xf numFmtId="0" fontId="165" fillId="0" borderId="0"/>
    <xf numFmtId="0" fontId="165" fillId="0" borderId="0"/>
    <xf numFmtId="0" fontId="119" fillId="0" borderId="0"/>
    <xf numFmtId="0" fontId="165" fillId="0" borderId="0"/>
    <xf numFmtId="0" fontId="166" fillId="0" borderId="0"/>
    <xf numFmtId="0" fontId="166" fillId="0" borderId="0"/>
    <xf numFmtId="0" fontId="166" fillId="0" borderId="0"/>
    <xf numFmtId="0" fontId="166" fillId="0" borderId="0"/>
    <xf numFmtId="0" fontId="149" fillId="0" borderId="0"/>
    <xf numFmtId="0" fontId="16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8" fillId="0" borderId="0"/>
    <xf numFmtId="0" fontId="167" fillId="0" borderId="0"/>
    <xf numFmtId="0" fontId="169" fillId="0" borderId="0"/>
    <xf numFmtId="0" fontId="169" fillId="0" borderId="0"/>
    <xf numFmtId="0" fontId="169" fillId="0" borderId="0"/>
    <xf numFmtId="0" fontId="169" fillId="0" borderId="0"/>
    <xf numFmtId="0" fontId="129" fillId="0" borderId="0"/>
    <xf numFmtId="0" fontId="169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01" fillId="0" borderId="0"/>
    <xf numFmtId="0" fontId="7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70" fillId="0" borderId="0"/>
    <xf numFmtId="0" fontId="102" fillId="0" borderId="0"/>
    <xf numFmtId="0" fontId="171" fillId="84" borderId="0"/>
    <xf numFmtId="0" fontId="172" fillId="85" borderId="0"/>
    <xf numFmtId="0" fontId="173" fillId="0" borderId="0"/>
    <xf numFmtId="0" fontId="19" fillId="0" borderId="0"/>
    <xf numFmtId="0" fontId="19" fillId="0" borderId="0"/>
    <xf numFmtId="37" fontId="174" fillId="36" borderId="20"/>
    <xf numFmtId="0" fontId="175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10" fontId="45" fillId="34" borderId="1" applyAlignment="0">
      <alignment horizontal="right" vertical="center"/>
    </xf>
    <xf numFmtId="175" fontId="45" fillId="34" borderId="1">
      <alignment horizontal="right" vertical="top"/>
    </xf>
    <xf numFmtId="173" fontId="45" fillId="34" borderId="1">
      <alignment horizontal="right" vertical="top"/>
    </xf>
    <xf numFmtId="39" fontId="45" fillId="34" borderId="1">
      <alignment horizontal="right" vertical="top"/>
    </xf>
    <xf numFmtId="194" fontId="45" fillId="34" borderId="1"/>
    <xf numFmtId="239" fontId="179" fillId="0" borderId="1">
      <alignment horizontal="center" vertical="center" wrapText="1"/>
    </xf>
    <xf numFmtId="0" fontId="10" fillId="5" borderId="9" applyNumberFormat="0" applyAlignment="0" applyProtection="0"/>
    <xf numFmtId="10" fontId="72" fillId="86" borderId="1" applyNumberFormat="0" applyBorder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1" fillId="41" borderId="15" applyNumberFormat="0" applyAlignment="0" applyProtection="0"/>
    <xf numFmtId="0" fontId="181" fillId="41" borderId="15" applyNumberFormat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3" fontId="45" fillId="34" borderId="0"/>
    <xf numFmtId="0" fontId="27" fillId="34" borderId="1" applyNumberFormat="0" applyFont="0" applyAlignment="0">
      <protection locked="0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93" fillId="0" borderId="0"/>
    <xf numFmtId="0" fontId="182" fillId="0" borderId="0"/>
    <xf numFmtId="0" fontId="183" fillId="0" borderId="0" applyNumberFormat="0" applyFill="0" applyBorder="0" applyAlignment="0" applyProtection="0">
      <alignment vertical="top"/>
      <protection locked="0"/>
    </xf>
    <xf numFmtId="0" fontId="184" fillId="0" borderId="0">
      <alignment vertical="center"/>
    </xf>
    <xf numFmtId="0" fontId="86" fillId="0" borderId="0"/>
    <xf numFmtId="0" fontId="185" fillId="0" borderId="0"/>
    <xf numFmtId="0" fontId="49" fillId="0" borderId="0"/>
    <xf numFmtId="0" fontId="186" fillId="0" borderId="0">
      <alignment horizontal="right"/>
    </xf>
    <xf numFmtId="38" fontId="187" fillId="0" borderId="0"/>
    <xf numFmtId="38" fontId="188" fillId="0" borderId="0"/>
    <xf numFmtId="38" fontId="189" fillId="0" borderId="0"/>
    <xf numFmtId="38" fontId="190" fillId="0" borderId="0"/>
    <xf numFmtId="38" fontId="191" fillId="0" borderId="0"/>
    <xf numFmtId="38" fontId="192" fillId="0" borderId="0"/>
    <xf numFmtId="38" fontId="193" fillId="0" borderId="0"/>
    <xf numFmtId="38" fontId="194" fillId="0" borderId="0"/>
    <xf numFmtId="0" fontId="195" fillId="0" borderId="0"/>
    <xf numFmtId="0" fontId="196" fillId="0" borderId="0"/>
    <xf numFmtId="0" fontId="195" fillId="0" borderId="0"/>
    <xf numFmtId="0" fontId="196" fillId="0" borderId="0"/>
    <xf numFmtId="0" fontId="196" fillId="0" borderId="0"/>
    <xf numFmtId="10" fontId="197" fillId="36" borderId="0">
      <alignment horizontal="center" vertical="center"/>
    </xf>
    <xf numFmtId="175" fontId="198" fillId="0" borderId="0">
      <alignment horizontal="right" vertical="top"/>
    </xf>
    <xf numFmtId="173" fontId="199" fillId="0" borderId="0">
      <alignment horizontal="right" vertical="top"/>
    </xf>
    <xf numFmtId="178" fontId="200" fillId="0" borderId="0"/>
    <xf numFmtId="194" fontId="198" fillId="0" borderId="0"/>
    <xf numFmtId="39" fontId="103" fillId="34" borderId="32"/>
    <xf numFmtId="37" fontId="201" fillId="0" borderId="1"/>
    <xf numFmtId="188" fontId="73" fillId="0" borderId="0" applyFill="0" applyBorder="0" applyAlignment="0"/>
    <xf numFmtId="184" fontId="73" fillId="0" borderId="0" applyFill="0" applyBorder="0" applyAlignment="0"/>
    <xf numFmtId="188" fontId="73" fillId="0" borderId="0" applyFill="0" applyBorder="0" applyAlignment="0"/>
    <xf numFmtId="189" fontId="73" fillId="0" borderId="0" applyFill="0" applyBorder="0" applyAlignment="0"/>
    <xf numFmtId="184" fontId="73" fillId="0" borderId="0" applyFill="0" applyBorder="0" applyAlignment="0"/>
    <xf numFmtId="37" fontId="93" fillId="0" borderId="32"/>
    <xf numFmtId="0" fontId="13" fillId="0" borderId="11" applyNumberFormat="0" applyFill="0" applyAlignment="0" applyProtection="0"/>
    <xf numFmtId="0" fontId="202" fillId="0" borderId="44" applyNumberFormat="0" applyFill="0" applyAlignment="0" applyProtection="0"/>
    <xf numFmtId="0" fontId="202" fillId="0" borderId="44" applyNumberFormat="0" applyFill="0" applyAlignment="0" applyProtection="0"/>
    <xf numFmtId="0" fontId="203" fillId="0" borderId="44" applyNumberFormat="0" applyFill="0" applyAlignment="0" applyProtection="0"/>
    <xf numFmtId="37" fontId="204" fillId="0" borderId="32"/>
    <xf numFmtId="37" fontId="49" fillId="0" borderId="32"/>
    <xf numFmtId="1" fontId="205" fillId="0" borderId="1">
      <alignment horizontal="center" vertical="center"/>
    </xf>
    <xf numFmtId="0" fontId="19" fillId="33" borderId="0"/>
    <xf numFmtId="0" fontId="46" fillId="0" borderId="0">
      <protection locked="0"/>
    </xf>
    <xf numFmtId="0" fontId="206" fillId="0" borderId="16">
      <alignment horizontal="left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240" fontId="51" fillId="0" borderId="0" applyFont="0" applyFill="0" applyBorder="0" applyAlignment="0" applyProtection="0"/>
    <xf numFmtId="241" fontId="86" fillId="0" borderId="0" applyFont="0" applyFill="0" applyBorder="0" applyAlignment="0" applyProtection="0"/>
    <xf numFmtId="242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243" fontId="207" fillId="0" borderId="0" applyFont="0" applyFill="0" applyBorder="0" applyAlignment="0" applyProtection="0"/>
    <xf numFmtId="244" fontId="207" fillId="0" borderId="0" applyFont="0" applyFill="0" applyBorder="0" applyAlignment="0" applyProtection="0"/>
    <xf numFmtId="245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46" fontId="19" fillId="0" borderId="0" applyFont="0" applyFill="0" applyBorder="0" applyAlignment="0" applyProtection="0"/>
    <xf numFmtId="247" fontId="208" fillId="0" borderId="0" applyFont="0" applyFill="0" applyBorder="0" applyAlignment="0" applyProtection="0"/>
    <xf numFmtId="248" fontId="27" fillId="0" borderId="0" applyFont="0" applyFill="0" applyBorder="0" applyAlignment="0" applyProtection="0"/>
    <xf numFmtId="183" fontId="19" fillId="0" borderId="0" applyFont="0" applyFill="0" applyBorder="0" applyAlignment="0" applyProtection="0"/>
    <xf numFmtId="249" fontId="208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ill="0" applyBorder="0" applyProtection="0">
      <alignment vertical="center"/>
    </xf>
    <xf numFmtId="0" fontId="84" fillId="0" borderId="0" applyFont="0" applyFill="0" applyBorder="0" applyAlignment="0" applyProtection="0">
      <alignment horizontal="right"/>
    </xf>
    <xf numFmtId="0" fontId="209" fillId="0" borderId="0">
      <protection locked="0"/>
    </xf>
    <xf numFmtId="0" fontId="210" fillId="0" borderId="0">
      <protection locked="0"/>
    </xf>
    <xf numFmtId="0" fontId="141" fillId="0" borderId="0"/>
    <xf numFmtId="0" fontId="9" fillId="4" borderId="0" applyNumberFormat="0" applyBorder="0" applyAlignment="0" applyProtection="0"/>
    <xf numFmtId="0" fontId="211" fillId="50" borderId="0" applyNumberFormat="0" applyBorder="0" applyAlignment="0" applyProtection="0"/>
    <xf numFmtId="0" fontId="211" fillId="50" borderId="0" applyNumberFormat="0" applyBorder="0" applyAlignment="0" applyProtection="0"/>
    <xf numFmtId="0" fontId="212" fillId="50" borderId="0" applyNumberFormat="0" applyBorder="0" applyAlignment="0" applyProtection="0"/>
    <xf numFmtId="0" fontId="213" fillId="87" borderId="0"/>
    <xf numFmtId="0" fontId="214" fillId="88" borderId="0"/>
    <xf numFmtId="0" fontId="215" fillId="0" borderId="0"/>
    <xf numFmtId="37" fontId="216" fillId="0" borderId="0"/>
    <xf numFmtId="0" fontId="141" fillId="0" borderId="0"/>
    <xf numFmtId="0" fontId="41" fillId="0" borderId="0"/>
    <xf numFmtId="0" fontId="1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1" fontId="217" fillId="0" borderId="0" applyProtection="0"/>
    <xf numFmtId="0" fontId="51" fillId="0" borderId="32"/>
    <xf numFmtId="250" fontId="37" fillId="0" borderId="0"/>
    <xf numFmtId="250" fontId="37" fillId="0" borderId="0"/>
    <xf numFmtId="250" fontId="37" fillId="0" borderId="0"/>
    <xf numFmtId="0" fontId="19" fillId="0" borderId="0"/>
    <xf numFmtId="0" fontId="19" fillId="0" borderId="0"/>
    <xf numFmtId="0" fontId="52" fillId="0" borderId="0"/>
    <xf numFmtId="0" fontId="52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18" fillId="0" borderId="0"/>
    <xf numFmtId="0" fontId="218" fillId="0" borderId="0"/>
    <xf numFmtId="0" fontId="19" fillId="0" borderId="0"/>
    <xf numFmtId="0" fontId="86" fillId="0" borderId="0"/>
    <xf numFmtId="0" fontId="86" fillId="0" borderId="0"/>
    <xf numFmtId="0" fontId="52" fillId="0" borderId="0"/>
    <xf numFmtId="0" fontId="85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0" fontId="27" fillId="0" borderId="0"/>
    <xf numFmtId="0" fontId="218" fillId="0" borderId="0"/>
    <xf numFmtId="0" fontId="218" fillId="0" borderId="0"/>
    <xf numFmtId="0" fontId="218" fillId="0" borderId="0"/>
    <xf numFmtId="0" fontId="85" fillId="0" borderId="0"/>
    <xf numFmtId="0" fontId="19" fillId="0" borderId="0"/>
    <xf numFmtId="0" fontId="19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37" fillId="0" borderId="0"/>
    <xf numFmtId="0" fontId="30" fillId="0" borderId="0"/>
    <xf numFmtId="0" fontId="37" fillId="0" borderId="0"/>
    <xf numFmtId="0" fontId="86" fillId="0" borderId="0"/>
    <xf numFmtId="0" fontId="85" fillId="0" borderId="0"/>
    <xf numFmtId="0" fontId="19" fillId="0" borderId="0"/>
    <xf numFmtId="0" fontId="85" fillId="0" borderId="0"/>
    <xf numFmtId="0" fontId="3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2" fillId="0" borderId="0"/>
    <xf numFmtId="0" fontId="27" fillId="0" borderId="0"/>
    <xf numFmtId="0" fontId="8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8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19" fillId="0" borderId="0"/>
    <xf numFmtId="0" fontId="85" fillId="0" borderId="0"/>
    <xf numFmtId="0" fontId="72" fillId="0" borderId="0">
      <alignment horizontal="left"/>
    </xf>
    <xf numFmtId="0" fontId="19" fillId="0" borderId="0"/>
    <xf numFmtId="0" fontId="27" fillId="0" borderId="0" applyNumberFormat="0"/>
    <xf numFmtId="0" fontId="59" fillId="0" borderId="0"/>
    <xf numFmtId="0" fontId="84" fillId="0" borderId="0" applyFill="0" applyBorder="0" applyProtection="0">
      <alignment vertical="center"/>
    </xf>
    <xf numFmtId="0" fontId="86" fillId="0" borderId="0"/>
    <xf numFmtId="0" fontId="220" fillId="0" borderId="0"/>
    <xf numFmtId="0" fontId="19" fillId="0" borderId="0"/>
    <xf numFmtId="0" fontId="221" fillId="0" borderId="0"/>
    <xf numFmtId="0" fontId="222" fillId="0" borderId="0"/>
    <xf numFmtId="0" fontId="86" fillId="0" borderId="0"/>
    <xf numFmtId="0" fontId="223" fillId="0" borderId="0"/>
    <xf numFmtId="0" fontId="26" fillId="0" borderId="0"/>
    <xf numFmtId="0" fontId="20" fillId="0" borderId="0"/>
    <xf numFmtId="0" fontId="19" fillId="0" borderId="0"/>
    <xf numFmtId="0" fontId="224" fillId="43" borderId="45" applyNumberFormat="0" applyFont="0" applyAlignment="0" applyProtection="0"/>
    <xf numFmtId="0" fontId="224" fillId="43" borderId="45" applyNumberFormat="0" applyFont="0" applyAlignment="0" applyProtection="0"/>
    <xf numFmtId="0" fontId="19" fillId="0" borderId="0"/>
    <xf numFmtId="0" fontId="19" fillId="0" borderId="0"/>
    <xf numFmtId="0" fontId="19" fillId="0" borderId="0"/>
    <xf numFmtId="0" fontId="52" fillId="43" borderId="45" applyNumberFormat="0" applyFont="0" applyAlignment="0" applyProtection="0"/>
    <xf numFmtId="0" fontId="30" fillId="43" borderId="45" applyNumberFormat="0" applyFont="0" applyAlignment="0" applyProtection="0"/>
    <xf numFmtId="251" fontId="37" fillId="0" borderId="0" applyFont="0" applyFill="0" applyBorder="0" applyAlignment="0" applyProtection="0"/>
    <xf numFmtId="252" fontId="37" fillId="0" borderId="0" applyFont="0" applyFill="0" applyBorder="0" applyAlignment="0" applyProtection="0"/>
    <xf numFmtId="251" fontId="225" fillId="0" borderId="0" applyFont="0" applyFill="0" applyBorder="0" applyAlignment="0" applyProtection="0"/>
    <xf numFmtId="252" fontId="225" fillId="0" borderId="0" applyFont="0" applyFill="0" applyBorder="0" applyAlignment="0" applyProtection="0"/>
    <xf numFmtId="202" fontId="19" fillId="0" borderId="0" applyFont="0" applyFill="0" applyBorder="0" applyAlignment="0" applyProtection="0"/>
    <xf numFmtId="253" fontId="226" fillId="0" borderId="0" applyFont="0" applyFill="0" applyBorder="0" applyAlignment="0" applyProtection="0"/>
    <xf numFmtId="254" fontId="19" fillId="0" borderId="0" applyFont="0" applyFill="0" applyBorder="0" applyAlignment="0" applyProtection="0"/>
    <xf numFmtId="255" fontId="226" fillId="0" borderId="0" applyFont="0" applyFill="0" applyBorder="0" applyAlignment="0" applyProtection="0"/>
    <xf numFmtId="37" fontId="103" fillId="89" borderId="32">
      <alignment vertical="top" wrapText="1"/>
      <protection locked="0"/>
    </xf>
    <xf numFmtId="0" fontId="27" fillId="0" borderId="0"/>
    <xf numFmtId="256" fontId="227" fillId="0" borderId="0">
      <alignment horizontal="left"/>
    </xf>
    <xf numFmtId="0" fontId="27" fillId="0" borderId="0"/>
    <xf numFmtId="256" fontId="227" fillId="0" borderId="0">
      <alignment horizontal="left"/>
    </xf>
    <xf numFmtId="0" fontId="228" fillId="0" borderId="0"/>
    <xf numFmtId="0" fontId="228" fillId="0" borderId="0"/>
    <xf numFmtId="0" fontId="228" fillId="0" borderId="0"/>
    <xf numFmtId="0" fontId="228" fillId="0" borderId="0"/>
    <xf numFmtId="0" fontId="229" fillId="0" borderId="0"/>
    <xf numFmtId="0" fontId="228" fillId="0" borderId="0"/>
    <xf numFmtId="0" fontId="230" fillId="0" borderId="0"/>
    <xf numFmtId="257" fontId="231" fillId="0" borderId="0" applyFont="0" applyFill="0" applyBorder="0" applyAlignment="0" applyProtection="0"/>
    <xf numFmtId="0" fontId="231" fillId="0" borderId="0" applyFont="0" applyFill="0" applyBorder="0" applyAlignment="0" applyProtection="0"/>
    <xf numFmtId="258" fontId="27" fillId="0" borderId="0" applyFont="0" applyFill="0" applyBorder="0" applyAlignment="0" applyProtection="0"/>
    <xf numFmtId="259" fontId="27" fillId="0" borderId="0" applyFont="0" applyFill="0" applyBorder="0" applyAlignment="0" applyProtection="0"/>
    <xf numFmtId="0" fontId="11" fillId="6" borderId="10" applyNumberFormat="0" applyAlignment="0" applyProtection="0"/>
    <xf numFmtId="0" fontId="232" fillId="39" borderId="46" applyNumberFormat="0" applyAlignment="0" applyProtection="0"/>
    <xf numFmtId="0" fontId="232" fillId="47" borderId="46" applyNumberFormat="0" applyAlignment="0" applyProtection="0"/>
    <xf numFmtId="0" fontId="233" fillId="47" borderId="46" applyNumberFormat="0" applyAlignment="0" applyProtection="0"/>
    <xf numFmtId="260" fontId="234" fillId="0" borderId="47">
      <protection locked="0"/>
    </xf>
    <xf numFmtId="0" fontId="235" fillId="0" borderId="0"/>
    <xf numFmtId="1" fontId="236" fillId="0" borderId="0" applyProtection="0">
      <alignment horizontal="right" vertical="center"/>
    </xf>
    <xf numFmtId="0" fontId="227" fillId="0" borderId="0">
      <alignment horizontal="center"/>
    </xf>
    <xf numFmtId="49" fontId="237" fillId="0" borderId="43" applyFill="0" applyProtection="0">
      <alignment vertical="center"/>
    </xf>
    <xf numFmtId="0" fontId="238" fillId="0" borderId="0"/>
    <xf numFmtId="0" fontId="20" fillId="0" borderId="0"/>
    <xf numFmtId="0" fontId="238" fillId="0" borderId="0"/>
    <xf numFmtId="0" fontId="20" fillId="0" borderId="0"/>
    <xf numFmtId="184" fontId="239" fillId="0" borderId="0"/>
    <xf numFmtId="9" fontId="18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187" fontId="73" fillId="0" borderId="0" applyFont="0" applyFill="0" applyBorder="0" applyAlignment="0" applyProtection="0"/>
    <xf numFmtId="264" fontId="73" fillId="0" borderId="0" applyFont="0" applyFill="0" applyBorder="0" applyAlignment="0" applyProtection="0"/>
    <xf numFmtId="10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240" fillId="0" borderId="0"/>
    <xf numFmtId="0" fontId="46" fillId="0" borderId="0">
      <protection locked="0"/>
    </xf>
    <xf numFmtId="0" fontId="27" fillId="0" borderId="0">
      <protection locked="0"/>
    </xf>
    <xf numFmtId="0" fontId="241" fillId="0" borderId="0">
      <protection locked="0"/>
    </xf>
    <xf numFmtId="0" fontId="27" fillId="0" borderId="0">
      <protection locked="0"/>
    </xf>
    <xf numFmtId="0" fontId="101" fillId="0" borderId="0">
      <protection locked="0"/>
    </xf>
    <xf numFmtId="37" fontId="242" fillId="34" borderId="48"/>
    <xf numFmtId="37" fontId="242" fillId="34" borderId="48"/>
    <xf numFmtId="9" fontId="27" fillId="0" borderId="0" applyNumberFormat="0" applyFont="0" applyFill="0" applyBorder="0" applyAlignment="0" applyProtection="0"/>
    <xf numFmtId="188" fontId="73" fillId="0" borderId="0" applyFill="0" applyBorder="0" applyAlignment="0"/>
    <xf numFmtId="184" fontId="73" fillId="0" borderId="0" applyFill="0" applyBorder="0" applyAlignment="0"/>
    <xf numFmtId="188" fontId="73" fillId="0" borderId="0" applyFill="0" applyBorder="0" applyAlignment="0"/>
    <xf numFmtId="189" fontId="73" fillId="0" borderId="0" applyFill="0" applyBorder="0" applyAlignment="0"/>
    <xf numFmtId="184" fontId="73" fillId="0" borderId="0" applyFill="0" applyBorder="0" applyAlignment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271" fontId="220" fillId="0" borderId="0" applyFont="0" applyFill="0" applyBorder="0" applyAlignment="0" applyProtection="0"/>
    <xf numFmtId="0" fontId="19" fillId="0" borderId="0"/>
    <xf numFmtId="0" fontId="46" fillId="0" borderId="0">
      <protection locked="0"/>
    </xf>
    <xf numFmtId="9" fontId="221" fillId="0" borderId="0" applyFont="0" applyFill="0" applyBorder="0" applyAlignment="0" applyProtection="0"/>
    <xf numFmtId="9" fontId="222" fillId="0" borderId="0" applyFont="0" applyFill="0" applyBorder="0" applyAlignment="0" applyProtection="0"/>
    <xf numFmtId="0" fontId="235" fillId="0" borderId="0"/>
    <xf numFmtId="272" fontId="101" fillId="36" borderId="0" applyFont="0" applyFill="0" applyBorder="0" applyProtection="0">
      <alignment horizontal="right" vertical="center"/>
    </xf>
    <xf numFmtId="39" fontId="243" fillId="0" borderId="0" applyNumberFormat="0">
      <alignment horizontal="right"/>
    </xf>
    <xf numFmtId="0" fontId="126" fillId="0" borderId="1" applyNumberFormat="0" applyProtection="0"/>
    <xf numFmtId="273" fontId="19" fillId="0" borderId="3" applyBorder="0">
      <alignment horizontal="right"/>
    </xf>
    <xf numFmtId="0" fontId="244" fillId="0" borderId="49">
      <alignment vertical="center"/>
    </xf>
    <xf numFmtId="4" fontId="85" fillId="34" borderId="46" applyNumberFormat="0" applyProtection="0">
      <alignment vertical="center"/>
    </xf>
    <xf numFmtId="4" fontId="245" fillId="34" borderId="46" applyNumberFormat="0" applyProtection="0">
      <alignment vertical="center"/>
    </xf>
    <xf numFmtId="4" fontId="85" fillId="34" borderId="46" applyNumberFormat="0" applyProtection="0">
      <alignment horizontal="left" vertical="center" indent="1"/>
    </xf>
    <xf numFmtId="4" fontId="85" fillId="34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89" borderId="46" applyNumberFormat="0" applyProtection="0">
      <alignment horizontal="right" vertical="center"/>
    </xf>
    <xf numFmtId="4" fontId="85" fillId="90" borderId="46" applyNumberFormat="0" applyProtection="0">
      <alignment horizontal="right" vertical="center"/>
    </xf>
    <xf numFmtId="4" fontId="85" fillId="91" borderId="46" applyNumberFormat="0" applyProtection="0">
      <alignment horizontal="right" vertical="center"/>
    </xf>
    <xf numFmtId="4" fontId="85" fillId="92" borderId="46" applyNumberFormat="0" applyProtection="0">
      <alignment horizontal="right" vertical="center"/>
    </xf>
    <xf numFmtId="4" fontId="85" fillId="93" borderId="46" applyNumberFormat="0" applyProtection="0">
      <alignment horizontal="right" vertical="center"/>
    </xf>
    <xf numFmtId="4" fontId="85" fillId="94" borderId="46" applyNumberFormat="0" applyProtection="0">
      <alignment horizontal="right" vertical="center"/>
    </xf>
    <xf numFmtId="4" fontId="85" fillId="95" borderId="46" applyNumberFormat="0" applyProtection="0">
      <alignment horizontal="right" vertical="center"/>
    </xf>
    <xf numFmtId="4" fontId="85" fillId="96" borderId="46" applyNumberFormat="0" applyProtection="0">
      <alignment horizontal="right" vertical="center"/>
    </xf>
    <xf numFmtId="4" fontId="85" fillId="97" borderId="46" applyNumberFormat="0" applyProtection="0">
      <alignment horizontal="right" vertical="center"/>
    </xf>
    <xf numFmtId="4" fontId="246" fillId="98" borderId="46" applyNumberFormat="0" applyProtection="0">
      <alignment horizontal="left" vertical="center" indent="1"/>
    </xf>
    <xf numFmtId="4" fontId="85" fillId="99" borderId="50" applyNumberFormat="0" applyProtection="0">
      <alignment horizontal="left" vertical="center" indent="1"/>
    </xf>
    <xf numFmtId="4" fontId="247" fillId="100" borderId="0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101" borderId="51" applyNumberFormat="0" applyProtection="0">
      <alignment horizontal="right" vertical="center"/>
    </xf>
    <xf numFmtId="0" fontId="19" fillId="35" borderId="46" applyNumberFormat="0" applyProtection="0">
      <alignment horizontal="left" vertical="center" indent="1"/>
    </xf>
    <xf numFmtId="4" fontId="85" fillId="101" borderId="51" applyNumberFormat="0" applyProtection="0">
      <alignment horizontal="right" vertical="center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77" fillId="103" borderId="51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71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86" borderId="46" applyNumberFormat="0" applyProtection="0">
      <alignment vertical="center"/>
    </xf>
    <xf numFmtId="4" fontId="245" fillId="86" borderId="46" applyNumberFormat="0" applyProtection="0">
      <alignment vertical="center"/>
    </xf>
    <xf numFmtId="4" fontId="85" fillId="86" borderId="46" applyNumberFormat="0" applyProtection="0">
      <alignment horizontal="left" vertical="center" indent="1"/>
    </xf>
    <xf numFmtId="4" fontId="85" fillId="86" borderId="46" applyNumberFormat="0" applyProtection="0">
      <alignment horizontal="left" vertical="center" indent="1"/>
    </xf>
    <xf numFmtId="4" fontId="85" fillId="99" borderId="46" applyNumberFormat="0" applyProtection="0">
      <alignment horizontal="right" vertical="center"/>
    </xf>
    <xf numFmtId="274" fontId="85" fillId="76" borderId="51" applyProtection="0">
      <alignment horizontal="right" vertical="center"/>
    </xf>
    <xf numFmtId="4" fontId="245" fillId="99" borderId="46" applyNumberFormat="0" applyProtection="0">
      <alignment horizontal="right" vertical="center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248" fillId="104" borderId="51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248" fillId="104" borderId="51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249" fillId="0" borderId="0"/>
    <xf numFmtId="4" fontId="250" fillId="99" borderId="46" applyNumberFormat="0" applyProtection="0">
      <alignment horizontal="right" vertical="center"/>
    </xf>
    <xf numFmtId="0" fontId="251" fillId="105" borderId="1">
      <alignment horizontal="left" vertical="top" wrapText="1"/>
    </xf>
    <xf numFmtId="0" fontId="252" fillId="0" borderId="0">
      <alignment horizontal="left" vertical="top" wrapText="1"/>
    </xf>
    <xf numFmtId="0" fontId="252" fillId="0" borderId="0">
      <alignment horizontal="left" vertical="top" wrapText="1"/>
    </xf>
    <xf numFmtId="0" fontId="251" fillId="105" borderId="1">
      <alignment horizontal="left" vertical="top" wrapText="1"/>
    </xf>
    <xf numFmtId="1" fontId="253" fillId="106" borderId="1">
      <alignment horizontal="center" vertical="center"/>
    </xf>
    <xf numFmtId="178" fontId="45" fillId="0" borderId="0"/>
    <xf numFmtId="0" fontId="253" fillId="107" borderId="0">
      <alignment vertical="top"/>
    </xf>
    <xf numFmtId="0" fontId="254" fillId="0" borderId="0" applyNumberFormat="0" applyFill="0" applyBorder="0" applyAlignment="0" applyProtection="0"/>
    <xf numFmtId="164" fontId="255" fillId="0" borderId="0"/>
    <xf numFmtId="214" fontId="255" fillId="0" borderId="0"/>
    <xf numFmtId="0" fontId="59" fillId="0" borderId="0" applyNumberFormat="0" applyFill="0" applyBorder="0" applyAlignment="0" applyProtection="0">
      <alignment horizontal="center"/>
    </xf>
    <xf numFmtId="242" fontId="49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141" fillId="0" borderId="0"/>
    <xf numFmtId="0" fontId="257" fillId="0" borderId="0"/>
    <xf numFmtId="0" fontId="134" fillId="0" borderId="0" applyFill="0" applyBorder="0" applyAlignment="0" applyProtection="0"/>
    <xf numFmtId="0" fontId="19" fillId="0" borderId="0"/>
    <xf numFmtId="0" fontId="258" fillId="0" borderId="0"/>
    <xf numFmtId="0" fontId="259" fillId="108" borderId="0">
      <alignment vertical="center"/>
    </xf>
    <xf numFmtId="0" fontId="39" fillId="36" borderId="0" applyProtection="0"/>
    <xf numFmtId="0" fontId="246" fillId="36" borderId="0" applyNumberFormat="0" applyFill="0" applyBorder="0" applyProtection="0"/>
    <xf numFmtId="275" fontId="27" fillId="36" borderId="0">
      <alignment horizontal="left" indent="1"/>
    </xf>
    <xf numFmtId="192" fontId="246" fillId="36" borderId="0" applyNumberFormat="0" applyFill="0" applyBorder="0" applyProtection="0">
      <alignment horizontal="left"/>
    </xf>
    <xf numFmtId="0" fontId="19" fillId="0" borderId="52" applyAlignment="0"/>
    <xf numFmtId="0" fontId="260" fillId="0" borderId="0" applyBorder="0" applyProtection="0">
      <alignment vertical="center"/>
    </xf>
    <xf numFmtId="0" fontId="260" fillId="0" borderId="43" applyBorder="0" applyProtection="0">
      <alignment horizontal="right" vertical="center"/>
    </xf>
    <xf numFmtId="0" fontId="261" fillId="109" borderId="0" applyBorder="0" applyProtection="0">
      <alignment horizontal="centerContinuous" vertical="center"/>
    </xf>
    <xf numFmtId="0" fontId="261" fillId="110" borderId="43" applyBorder="0" applyProtection="0">
      <alignment horizontal="centerContinuous" vertical="center"/>
    </xf>
    <xf numFmtId="0" fontId="262" fillId="0" borderId="0"/>
    <xf numFmtId="0" fontId="263" fillId="0" borderId="0" applyBorder="0" applyProtection="0">
      <alignment horizontal="left"/>
    </xf>
    <xf numFmtId="0" fontId="220" fillId="0" borderId="0"/>
    <xf numFmtId="0" fontId="264" fillId="0" borderId="0" applyFill="0" applyBorder="0" applyProtection="0">
      <alignment horizontal="left"/>
    </xf>
    <xf numFmtId="0" fontId="142" fillId="0" borderId="53" applyFill="0" applyBorder="0" applyProtection="0">
      <alignment horizontal="left" vertical="top"/>
    </xf>
    <xf numFmtId="0" fontId="124" fillId="0" borderId="0">
      <alignment horizontal="centerContinuous"/>
    </xf>
    <xf numFmtId="0" fontId="49" fillId="0" borderId="0" applyAlignment="0"/>
    <xf numFmtId="0" fontId="265" fillId="0" borderId="0" applyNumberFormat="0" applyFont="0" applyFill="0" applyBorder="0" applyProtection="0">
      <alignment vertical="top" wrapText="1"/>
    </xf>
    <xf numFmtId="0" fontId="266" fillId="0" borderId="53" applyFill="0" applyBorder="0" applyProtection="0"/>
    <xf numFmtId="0" fontId="266" fillId="0" borderId="0"/>
    <xf numFmtId="1" fontId="267" fillId="0" borderId="0"/>
    <xf numFmtId="0" fontId="268" fillId="0" borderId="0" applyFill="0" applyBorder="0" applyProtection="0"/>
    <xf numFmtId="0" fontId="269" fillId="0" borderId="0"/>
    <xf numFmtId="49" fontId="85" fillId="0" borderId="0" applyFill="0" applyBorder="0" applyAlignment="0"/>
    <xf numFmtId="276" fontId="73" fillId="0" borderId="0" applyFill="0" applyBorder="0" applyAlignment="0"/>
    <xf numFmtId="277" fontId="73" fillId="0" borderId="0" applyFill="0" applyBorder="0" applyAlignment="0"/>
    <xf numFmtId="0" fontId="270" fillId="0" borderId="0">
      <alignment vertical="top"/>
    </xf>
    <xf numFmtId="0" fontId="271" fillId="0" borderId="0"/>
    <xf numFmtId="0" fontId="272" fillId="0" borderId="0">
      <alignment vertical="top"/>
    </xf>
    <xf numFmtId="0" fontId="273" fillId="0" borderId="0" applyFill="0" applyBorder="0" applyProtection="0">
      <alignment horizontal="left" vertical="top"/>
    </xf>
    <xf numFmtId="0" fontId="3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1" fontId="275" fillId="111" borderId="0">
      <alignment horizontal="center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278" fillId="0" borderId="0">
      <alignment vertical="top"/>
    </xf>
    <xf numFmtId="215" fontId="250" fillId="0" borderId="0" applyNumberFormat="0" applyFill="0" applyBorder="0" applyAlignment="0" applyProtection="0"/>
    <xf numFmtId="0" fontId="227" fillId="47" borderId="16"/>
    <xf numFmtId="0" fontId="1" fillId="0" borderId="14" applyNumberFormat="0" applyFill="0" applyAlignment="0" applyProtection="0"/>
    <xf numFmtId="0" fontId="279" fillId="0" borderId="54" applyNumberFormat="0" applyFill="0" applyAlignment="0" applyProtection="0"/>
    <xf numFmtId="0" fontId="88" fillId="0" borderId="55" applyNumberFormat="0" applyFont="0" applyFill="0" applyAlignment="0" applyProtection="0"/>
    <xf numFmtId="0" fontId="279" fillId="0" borderId="56" applyNumberFormat="0" applyFill="0" applyAlignment="0" applyProtection="0"/>
    <xf numFmtId="173" fontId="49" fillId="33" borderId="1"/>
    <xf numFmtId="0" fontId="280" fillId="0" borderId="56" applyNumberFormat="0" applyFill="0" applyAlignment="0" applyProtection="0"/>
    <xf numFmtId="0" fontId="20" fillId="0" borderId="57"/>
    <xf numFmtId="0" fontId="281" fillId="0" borderId="29" applyFill="0" applyBorder="0" applyProtection="0">
      <alignment vertical="center"/>
    </xf>
    <xf numFmtId="37" fontId="282" fillId="33" borderId="32"/>
    <xf numFmtId="0" fontId="19" fillId="112" borderId="0"/>
    <xf numFmtId="0" fontId="283" fillId="112" borderId="0" applyFill="0"/>
    <xf numFmtId="49" fontId="145" fillId="82" borderId="58">
      <alignment horizontal="left"/>
    </xf>
    <xf numFmtId="0" fontId="141" fillId="0" borderId="0"/>
    <xf numFmtId="0" fontId="41" fillId="0" borderId="0"/>
    <xf numFmtId="0" fontId="41" fillId="0" borderId="0"/>
    <xf numFmtId="0" fontId="19" fillId="0" borderId="0"/>
    <xf numFmtId="0" fontId="41" fillId="0" borderId="0"/>
    <xf numFmtId="0" fontId="41" fillId="0" borderId="0"/>
    <xf numFmtId="0" fontId="284" fillId="0" borderId="0">
      <alignment horizontal="fill"/>
    </xf>
    <xf numFmtId="0" fontId="27" fillId="0" borderId="0"/>
    <xf numFmtId="256" fontId="227" fillId="0" borderId="0">
      <alignment horizontal="left"/>
    </xf>
    <xf numFmtId="0" fontId="27" fillId="0" borderId="0"/>
    <xf numFmtId="256" fontId="227" fillId="0" borderId="0">
      <alignment horizontal="left"/>
    </xf>
    <xf numFmtId="0" fontId="285" fillId="35" borderId="59" applyNumberFormat="0" applyFont="0" applyFill="0" applyAlignment="0" applyProtection="0"/>
    <xf numFmtId="0" fontId="27" fillId="0" borderId="0" applyFont="0" applyFill="0" applyBorder="0" applyAlignment="0" applyProtection="0"/>
    <xf numFmtId="0" fontId="19" fillId="0" borderId="0"/>
    <xf numFmtId="0" fontId="172" fillId="0" borderId="0"/>
    <xf numFmtId="166" fontId="51" fillId="0" borderId="0" applyFont="0" applyFill="0" applyBorder="0" applyAlignment="0" applyProtection="0"/>
    <xf numFmtId="278" fontId="86" fillId="0" borderId="0" applyFont="0" applyFill="0" applyBorder="0" applyAlignment="0" applyProtection="0"/>
    <xf numFmtId="0" fontId="286" fillId="0" borderId="0"/>
    <xf numFmtId="0" fontId="267" fillId="0" borderId="0"/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27" fillId="0" borderId="0">
      <alignment horizontal="center" textRotation="90"/>
    </xf>
    <xf numFmtId="0" fontId="19" fillId="0" borderId="0">
      <alignment horizontal="center" textRotation="90"/>
    </xf>
    <xf numFmtId="0" fontId="172" fillId="0" borderId="0"/>
    <xf numFmtId="279" fontId="19" fillId="0" borderId="0" applyFont="0" applyFill="0" applyBorder="0" applyAlignment="0" applyProtection="0"/>
    <xf numFmtId="257" fontId="19" fillId="0" borderId="0" applyFont="0" applyFill="0" applyBorder="0" applyAlignment="0" applyProtection="0"/>
    <xf numFmtId="245" fontId="19" fillId="0" borderId="0" applyFont="0" applyFill="0" applyBorder="0" applyAlignment="0" applyProtection="0"/>
    <xf numFmtId="280" fontId="19" fillId="0" borderId="0" applyFont="0" applyFill="0" applyBorder="0" applyAlignment="0" applyProtection="0"/>
    <xf numFmtId="281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172" fontId="51" fillId="0" borderId="0" applyFont="0" applyFill="0" applyBorder="0" applyAlignment="0" applyProtection="0"/>
    <xf numFmtId="206" fontId="5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8" fillId="0" borderId="0" applyNumberFormat="0" applyFill="0" applyBorder="0" applyAlignment="0" applyProtection="0"/>
    <xf numFmtId="0" fontId="27" fillId="51" borderId="0" applyNumberFormat="0" applyBorder="0" applyAlignment="0" applyProtection="0"/>
    <xf numFmtId="282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0" fontId="289" fillId="0" borderId="43" applyBorder="0" applyProtection="0">
      <alignment horizontal="right"/>
    </xf>
    <xf numFmtId="290" fontId="27" fillId="36" borderId="0" applyFont="0" applyFill="0" applyBorder="0" applyProtection="0">
      <alignment horizontal="right"/>
    </xf>
    <xf numFmtId="291" fontId="98" fillId="0" borderId="26" applyFont="0" applyFill="0" applyBorder="0" applyAlignment="0">
      <alignment horizontal="centerContinuous"/>
    </xf>
    <xf numFmtId="292" fontId="290" fillId="0" borderId="26" applyFont="0" applyFill="0" applyBorder="0" applyAlignment="0">
      <alignment horizontal="centerContinuous"/>
    </xf>
    <xf numFmtId="1" fontId="291" fillId="0" borderId="0" applyFill="0" applyProtection="0">
      <alignment horizontal="right"/>
    </xf>
    <xf numFmtId="293" fontId="27" fillId="0" borderId="0" applyFont="0" applyFill="0" applyBorder="0" applyAlignment="0" applyProtection="0"/>
    <xf numFmtId="0" fontId="19" fillId="0" borderId="0"/>
    <xf numFmtId="0" fontId="56" fillId="59" borderId="0" applyNumberFormat="0" applyBorder="0" applyAlignment="0" applyProtection="0"/>
    <xf numFmtId="0" fontId="57" fillId="9" borderId="0" applyNumberFormat="0" applyBorder="0" applyAlignment="0" applyProtection="0"/>
    <xf numFmtId="0" fontId="56" fillId="64" borderId="0" applyNumberFormat="0" applyBorder="0" applyAlignment="0" applyProtection="0"/>
    <xf numFmtId="0" fontId="57" fillId="13" borderId="0" applyNumberFormat="0" applyBorder="0" applyAlignment="0" applyProtection="0"/>
    <xf numFmtId="0" fontId="56" fillId="66" borderId="0" applyNumberFormat="0" applyBorder="0" applyAlignment="0" applyProtection="0"/>
    <xf numFmtId="0" fontId="57" fillId="17" borderId="0" applyNumberFormat="0" applyBorder="0" applyAlignment="0" applyProtection="0"/>
    <xf numFmtId="0" fontId="42" fillId="0" borderId="0"/>
    <xf numFmtId="0" fontId="56" fillId="55" borderId="0" applyNumberFormat="0" applyBorder="0" applyAlignment="0" applyProtection="0"/>
    <xf numFmtId="0" fontId="57" fillId="21" borderId="0" applyNumberFormat="0" applyBorder="0" applyAlignment="0" applyProtection="0"/>
    <xf numFmtId="0" fontId="56" fillId="53" borderId="0" applyNumberFormat="0" applyBorder="0" applyAlignment="0" applyProtection="0"/>
    <xf numFmtId="0" fontId="57" fillId="25" borderId="0" applyNumberFormat="0" applyBorder="0" applyAlignment="0" applyProtection="0"/>
    <xf numFmtId="0" fontId="56" fillId="70" borderId="0" applyNumberFormat="0" applyBorder="0" applyAlignment="0" applyProtection="0"/>
    <xf numFmtId="0" fontId="57" fillId="29" borderId="0" applyNumberFormat="0" applyBorder="0" applyAlignment="0" applyProtection="0"/>
    <xf numFmtId="0" fontId="86" fillId="0" borderId="0"/>
    <xf numFmtId="184" fontId="42" fillId="0" borderId="60">
      <protection locked="0"/>
    </xf>
    <xf numFmtId="294" fontId="200" fillId="0" borderId="61">
      <alignment horizontal="center"/>
    </xf>
    <xf numFmtId="0" fontId="181" fillId="41" borderId="15" applyNumberFormat="0" applyAlignment="0" applyProtection="0"/>
    <xf numFmtId="0" fontId="292" fillId="41" borderId="15" applyNumberFormat="0" applyAlignment="0" applyProtection="0"/>
    <xf numFmtId="0" fontId="293" fillId="5" borderId="9" applyNumberFormat="0" applyAlignment="0" applyProtection="0"/>
    <xf numFmtId="3" fontId="294" fillId="0" borderId="0">
      <alignment horizontal="center" vertical="center" textRotation="90" wrapText="1"/>
    </xf>
    <xf numFmtId="0" fontId="295" fillId="0" borderId="0"/>
    <xf numFmtId="295" fontId="42" fillId="0" borderId="1">
      <alignment vertical="top" wrapText="1"/>
    </xf>
    <xf numFmtId="0" fontId="267" fillId="0" borderId="0"/>
    <xf numFmtId="0" fontId="233" fillId="47" borderId="46" applyNumberFormat="0" applyAlignment="0" applyProtection="0"/>
    <xf numFmtId="0" fontId="296" fillId="6" borderId="10" applyNumberFormat="0" applyAlignment="0" applyProtection="0"/>
    <xf numFmtId="0" fontId="75" fillId="47" borderId="15" applyNumberFormat="0" applyAlignment="0" applyProtection="0"/>
    <xf numFmtId="0" fontId="297" fillId="6" borderId="9" applyNumberFormat="0" applyAlignment="0" applyProtection="0"/>
    <xf numFmtId="0" fontId="298" fillId="0" borderId="0" applyNumberFormat="0" applyFill="0" applyBorder="0" applyAlignment="0" applyProtection="0"/>
    <xf numFmtId="296" fontId="299" fillId="0" borderId="1">
      <alignment vertical="top" wrapText="1"/>
    </xf>
    <xf numFmtId="4" fontId="300" fillId="0" borderId="1">
      <alignment horizontal="left" vertical="center"/>
    </xf>
    <xf numFmtId="4" fontId="300" fillId="0" borderId="1"/>
    <xf numFmtId="4" fontId="300" fillId="103" borderId="1"/>
    <xf numFmtId="4" fontId="300" fillId="113" borderId="1"/>
    <xf numFmtId="4" fontId="98" fillId="76" borderId="1"/>
    <xf numFmtId="4" fontId="301" fillId="33" borderId="1"/>
    <xf numFmtId="4" fontId="302" fillId="0" borderId="1">
      <alignment horizontal="center" wrapText="1"/>
    </xf>
    <xf numFmtId="296" fontId="300" fillId="0" borderId="1"/>
    <xf numFmtId="296" fontId="299" fillId="0" borderId="1">
      <alignment horizontal="center" vertical="center" wrapText="1"/>
    </xf>
    <xf numFmtId="4" fontId="303" fillId="0" borderId="1">
      <alignment horizontal="left" vertical="center" wrapText="1"/>
    </xf>
    <xf numFmtId="296" fontId="304" fillId="0" borderId="1"/>
    <xf numFmtId="296" fontId="305" fillId="0" borderId="1"/>
    <xf numFmtId="4" fontId="299" fillId="0" borderId="1"/>
    <xf numFmtId="14" fontId="306" fillId="0" borderId="62" applyBorder="0">
      <alignment horizontal="center" vertical="center"/>
    </xf>
    <xf numFmtId="14" fontId="42" fillId="0" borderId="0">
      <alignment vertical="center"/>
    </xf>
    <xf numFmtId="14" fontId="306" fillId="0" borderId="62" applyBorder="0">
      <alignment horizontal="center" vertical="center"/>
    </xf>
    <xf numFmtId="170" fontId="2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86" fillId="0" borderId="0"/>
    <xf numFmtId="0" fontId="30" fillId="0" borderId="0"/>
    <xf numFmtId="0" fontId="307" fillId="76" borderId="0" applyNumberFormat="0"/>
    <xf numFmtId="0" fontId="152" fillId="0" borderId="39" applyNumberFormat="0" applyFill="0" applyAlignment="0" applyProtection="0"/>
    <xf numFmtId="0" fontId="308" fillId="0" borderId="39" applyNumberFormat="0" applyFill="0" applyAlignment="0" applyProtection="0"/>
    <xf numFmtId="0" fontId="309" fillId="0" borderId="6" applyNumberFormat="0" applyFill="0" applyAlignment="0" applyProtection="0"/>
    <xf numFmtId="0" fontId="156" fillId="0" borderId="40" applyNumberFormat="0" applyFill="0" applyAlignment="0" applyProtection="0"/>
    <xf numFmtId="0" fontId="310" fillId="0" borderId="40" applyNumberFormat="0" applyFill="0" applyAlignment="0" applyProtection="0"/>
    <xf numFmtId="0" fontId="311" fillId="0" borderId="7" applyNumberFormat="0" applyFill="0" applyAlignment="0" applyProtection="0"/>
    <xf numFmtId="0" fontId="160" fillId="0" borderId="42" applyNumberFormat="0" applyFill="0" applyAlignment="0" applyProtection="0"/>
    <xf numFmtId="0" fontId="162" fillId="0" borderId="42" applyNumberFormat="0" applyFill="0" applyAlignment="0" applyProtection="0"/>
    <xf numFmtId="0" fontId="312" fillId="0" borderId="8" applyNumberFormat="0" applyFill="0" applyAlignment="0" applyProtection="0"/>
    <xf numFmtId="0" fontId="162" fillId="0" borderId="0" applyNumberFormat="0" applyFill="0" applyBorder="0" applyAlignment="0" applyProtection="0"/>
    <xf numFmtId="0" fontId="312" fillId="0" borderId="0" applyNumberFormat="0" applyFill="0" applyBorder="0" applyAlignment="0" applyProtection="0"/>
    <xf numFmtId="0" fontId="313" fillId="0" borderId="0" applyBorder="0">
      <alignment horizontal="center" vertical="center" wrapText="1"/>
    </xf>
    <xf numFmtId="0" fontId="314" fillId="0" borderId="63" applyBorder="0">
      <alignment horizontal="center" vertical="center" wrapText="1"/>
    </xf>
    <xf numFmtId="184" fontId="315" fillId="82" borderId="60"/>
    <xf numFmtId="4" fontId="316" fillId="34" borderId="1" applyBorder="0">
      <alignment horizontal="right"/>
    </xf>
    <xf numFmtId="0" fontId="279" fillId="0" borderId="56" applyNumberFormat="0" applyFill="0" applyAlignment="0" applyProtection="0"/>
    <xf numFmtId="0" fontId="106" fillId="0" borderId="56" applyNumberFormat="0" applyFill="0" applyAlignment="0" applyProtection="0"/>
    <xf numFmtId="0" fontId="317" fillId="0" borderId="14" applyNumberFormat="0" applyFill="0" applyAlignment="0" applyProtection="0"/>
    <xf numFmtId="185" fontId="318" fillId="0" borderId="1"/>
    <xf numFmtId="3" fontId="300" fillId="103" borderId="1"/>
    <xf numFmtId="0" fontId="78" fillId="72" borderId="21" applyNumberFormat="0" applyAlignment="0" applyProtection="0"/>
    <xf numFmtId="0" fontId="319" fillId="7" borderId="12" applyNumberFormat="0" applyAlignment="0" applyProtection="0"/>
    <xf numFmtId="0" fontId="166" fillId="0" borderId="0">
      <alignment horizontal="center" vertical="top" wrapText="1"/>
    </xf>
    <xf numFmtId="0" fontId="165" fillId="0" borderId="0">
      <alignment horizontal="centerContinuous" vertical="center" wrapText="1"/>
    </xf>
    <xf numFmtId="0" fontId="165" fillId="0" borderId="0">
      <alignment horizontal="center" vertical="center" wrapText="1"/>
    </xf>
    <xf numFmtId="0" fontId="166" fillId="0" borderId="0">
      <alignment horizontal="center" vertical="top" wrapText="1"/>
    </xf>
    <xf numFmtId="0" fontId="169" fillId="74" borderId="0" applyFill="0">
      <alignment wrapText="1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320" fillId="0" borderId="0" applyNumberFormat="0" applyFill="0" applyBorder="0" applyAlignment="0" applyProtection="0"/>
    <xf numFmtId="167" fontId="321" fillId="0" borderId="0"/>
    <xf numFmtId="0" fontId="212" fillId="50" borderId="0" applyNumberFormat="0" applyBorder="0" applyAlignment="0" applyProtection="0"/>
    <xf numFmtId="0" fontId="322" fillId="4" borderId="0" applyNumberFormat="0" applyBorder="0" applyAlignment="0" applyProtection="0"/>
    <xf numFmtId="49" fontId="294" fillId="0" borderId="1">
      <alignment horizontal="right" vertical="top" wrapText="1"/>
    </xf>
    <xf numFmtId="297" fontId="323" fillId="0" borderId="0">
      <alignment horizontal="right" vertical="top" wrapText="1"/>
    </xf>
    <xf numFmtId="0" fontId="37" fillId="0" borderId="0"/>
    <xf numFmtId="0" fontId="37" fillId="0" borderId="0"/>
    <xf numFmtId="0" fontId="37" fillId="0" borderId="0"/>
    <xf numFmtId="0" fontId="18" fillId="0" borderId="0"/>
    <xf numFmtId="0" fontId="37" fillId="0" borderId="0"/>
    <xf numFmtId="0" fontId="2" fillId="0" borderId="0"/>
    <xf numFmtId="0" fontId="2" fillId="0" borderId="0"/>
    <xf numFmtId="0" fontId="19" fillId="0" borderId="0"/>
    <xf numFmtId="0" fontId="324" fillId="0" borderId="0"/>
    <xf numFmtId="0" fontId="325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53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19" fillId="0" borderId="0" applyNumberFormat="0"/>
    <xf numFmtId="0" fontId="37" fillId="0" borderId="0"/>
    <xf numFmtId="0" fontId="37" fillId="0" borderId="0"/>
    <xf numFmtId="0" fontId="19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 applyNumberFormat="0"/>
    <xf numFmtId="0" fontId="37" fillId="0" borderId="0"/>
    <xf numFmtId="0" fontId="37" fillId="0" borderId="0"/>
    <xf numFmtId="0" fontId="37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53" fillId="0" borderId="0"/>
    <xf numFmtId="0" fontId="53" fillId="0" borderId="0"/>
    <xf numFmtId="0" fontId="37" fillId="0" borderId="0"/>
    <xf numFmtId="0" fontId="37" fillId="0" borderId="0"/>
    <xf numFmtId="0" fontId="19" fillId="0" borderId="0"/>
    <xf numFmtId="200" fontId="326" fillId="0" borderId="1"/>
    <xf numFmtId="0" fontId="67" fillId="42" borderId="0" applyNumberFormat="0" applyBorder="0" applyAlignment="0" applyProtection="0"/>
    <xf numFmtId="0" fontId="327" fillId="3" borderId="0" applyNumberFormat="0" applyBorder="0" applyAlignment="0" applyProtection="0"/>
    <xf numFmtId="296" fontId="328" fillId="0" borderId="1">
      <alignment vertical="top"/>
    </xf>
    <xf numFmtId="0" fontId="37" fillId="114" borderId="0" applyNumberFormat="0" applyFont="0" applyBorder="0" applyAlignment="0">
      <protection locked="0"/>
    </xf>
    <xf numFmtId="0" fontId="109" fillId="0" borderId="0" applyNumberFormat="0" applyFill="0" applyBorder="0" applyAlignment="0" applyProtection="0"/>
    <xf numFmtId="0" fontId="329" fillId="0" borderId="0" applyNumberFormat="0" applyFill="0" applyBorder="0" applyAlignment="0" applyProtection="0"/>
    <xf numFmtId="0" fontId="19" fillId="43" borderId="45" applyNumberFormat="0" applyFont="0" applyAlignment="0" applyProtection="0"/>
    <xf numFmtId="0" fontId="18" fillId="43" borderId="45" applyNumberFormat="0" applyFont="0" applyAlignment="0" applyProtection="0"/>
    <xf numFmtId="0" fontId="53" fillId="8" borderId="13" applyNumberFormat="0" applyFont="0" applyAlignment="0" applyProtection="0"/>
    <xf numFmtId="0" fontId="2" fillId="8" borderId="13" applyNumberFormat="0" applyFont="0" applyAlignment="0" applyProtection="0"/>
    <xf numFmtId="49" fontId="98" fillId="0" borderId="16">
      <alignment horizontal="left" vertical="center"/>
    </xf>
    <xf numFmtId="9" fontId="2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85" fontId="330" fillId="0" borderId="1"/>
    <xf numFmtId="3" fontId="331" fillId="115" borderId="16">
      <alignment horizontal="justify" vertical="center"/>
    </xf>
    <xf numFmtId="0" fontId="203" fillId="0" borderId="44" applyNumberFormat="0" applyFill="0" applyAlignment="0" applyProtection="0"/>
    <xf numFmtId="0" fontId="332" fillId="0" borderId="11" applyNumberFormat="0" applyFill="0" applyAlignment="0" applyProtection="0"/>
    <xf numFmtId="0" fontId="333" fillId="0" borderId="0" applyNumberFormat="0" applyFont="0" applyBorder="0" applyAlignment="0">
      <alignment horizontal="center"/>
    </xf>
    <xf numFmtId="0" fontId="42" fillId="0" borderId="0"/>
    <xf numFmtId="0" fontId="20" fillId="0" borderId="0"/>
    <xf numFmtId="0" fontId="29" fillId="0" borderId="0"/>
    <xf numFmtId="0" fontId="334" fillId="0" borderId="1">
      <alignment vertical="center" wrapText="1"/>
    </xf>
    <xf numFmtId="49" fontId="323" fillId="0" borderId="0"/>
    <xf numFmtId="49" fontId="335" fillId="0" borderId="0">
      <alignment vertical="top"/>
    </xf>
    <xf numFmtId="1" fontId="336" fillId="0" borderId="0"/>
    <xf numFmtId="0" fontId="288" fillId="0" borderId="0" applyNumberFormat="0" applyFill="0" applyBorder="0" applyAlignment="0" applyProtection="0"/>
    <xf numFmtId="0" fontId="337" fillId="0" borderId="0" applyNumberFormat="0" applyFill="0" applyBorder="0" applyAlignment="0" applyProtection="0"/>
    <xf numFmtId="49" fontId="169" fillId="0" borderId="0">
      <alignment horizontal="center"/>
    </xf>
    <xf numFmtId="0" fontId="338" fillId="116" borderId="32" applyNumberFormat="0" applyFont="0" applyAlignment="0" applyProtection="0">
      <alignment wrapText="1"/>
    </xf>
    <xf numFmtId="298" fontId="200" fillId="0" borderId="0"/>
    <xf numFmtId="299" fontId="37" fillId="0" borderId="0" applyFont="0" applyFill="0" applyBorder="0" applyAlignment="0" applyProtection="0"/>
    <xf numFmtId="3" fontId="339" fillId="0" borderId="16" applyFont="0" applyBorder="0">
      <alignment horizontal="right"/>
      <protection locked="0"/>
    </xf>
    <xf numFmtId="38" fontId="231" fillId="0" borderId="0" applyFont="0" applyFill="0" applyBorder="0" applyAlignment="0" applyProtection="0"/>
    <xf numFmtId="201" fontId="37" fillId="0" borderId="0" applyFont="0" applyFill="0" applyBorder="0" applyAlignment="0" applyProtection="0"/>
    <xf numFmtId="203" fontId="340" fillId="0" borderId="0" applyNumberFormat="0" applyFont="0" applyBorder="0" applyAlignment="0">
      <alignment horizontal="center"/>
    </xf>
    <xf numFmtId="171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18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37" fillId="0" borderId="0" applyFont="0" applyFill="0" applyBorder="0" applyAlignment="0" applyProtection="0"/>
    <xf numFmtId="242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242" fontId="19" fillId="0" borderId="0" applyFont="0" applyFill="0" applyBorder="0" applyAlignment="0" applyProtection="0"/>
    <xf numFmtId="199" fontId="2" fillId="0" borderId="0" applyFont="0" applyFill="0" applyBorder="0" applyAlignment="0" applyProtection="0"/>
    <xf numFmtId="300" fontId="37" fillId="0" borderId="0" applyFont="0" applyFill="0" applyBorder="0" applyAlignment="0" applyProtection="0"/>
    <xf numFmtId="301" fontId="37" fillId="0" borderId="0" applyFont="0" applyFill="0" applyBorder="0" applyAlignment="0" applyProtection="0"/>
    <xf numFmtId="302" fontId="37" fillId="0" borderId="0" applyFont="0" applyFill="0" applyBorder="0" applyAlignment="0" applyProtection="0"/>
    <xf numFmtId="4" fontId="316" fillId="74" borderId="0" applyBorder="0">
      <alignment horizontal="right"/>
    </xf>
    <xf numFmtId="4" fontId="316" fillId="117" borderId="65" applyBorder="0">
      <alignment horizontal="right"/>
    </xf>
    <xf numFmtId="4" fontId="316" fillId="74" borderId="1" applyFont="0" applyBorder="0">
      <alignment horizontal="right"/>
    </xf>
    <xf numFmtId="0" fontId="144" fillId="44" borderId="0" applyNumberFormat="0" applyBorder="0" applyAlignment="0" applyProtection="0"/>
    <xf numFmtId="0" fontId="341" fillId="2" borderId="0" applyNumberFormat="0" applyBorder="0" applyAlignment="0" applyProtection="0"/>
    <xf numFmtId="303" fontId="42" fillId="0" borderId="16">
      <alignment vertical="top" wrapText="1"/>
    </xf>
    <xf numFmtId="170" fontId="43" fillId="0" borderId="0">
      <protection locked="0"/>
    </xf>
    <xf numFmtId="49" fontId="299" fillId="0" borderId="1">
      <alignment horizontal="center" vertical="center" wrapText="1"/>
    </xf>
    <xf numFmtId="49" fontId="338" fillId="0" borderId="1" applyNumberFormat="0" applyFill="0" applyAlignment="0" applyProtection="0"/>
    <xf numFmtId="0" fontId="86" fillId="0" borderId="0"/>
    <xf numFmtId="38" fontId="342" fillId="0" borderId="0" applyFont="0" applyFill="0" applyBorder="0" applyAlignment="0" applyProtection="0"/>
    <xf numFmtId="0" fontId="342" fillId="0" borderId="0"/>
    <xf numFmtId="0" fontId="343" fillId="0" borderId="0">
      <alignment vertical="center"/>
    </xf>
    <xf numFmtId="200" fontId="3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98" fillId="0" borderId="0" applyNumberFormat="0" applyFill="0" applyBorder="0" applyAlignment="0" applyProtection="0"/>
  </cellStyleXfs>
  <cellXfs count="175">
    <xf numFmtId="0" fontId="0" fillId="0" borderId="0" xfId="0"/>
    <xf numFmtId="0" fontId="86" fillId="0" borderId="1" xfId="0" applyFont="1" applyBorder="1" applyAlignment="1">
      <alignment horizontal="center" vertical="center"/>
    </xf>
    <xf numFmtId="2" fontId="86" fillId="0" borderId="1" xfId="0" applyNumberFormat="1" applyFont="1" applyBorder="1" applyAlignment="1">
      <alignment horizontal="center" vertical="center"/>
    </xf>
    <xf numFmtId="4" fontId="86" fillId="0" borderId="1" xfId="0" applyNumberFormat="1" applyFont="1" applyBorder="1" applyAlignment="1">
      <alignment horizontal="center" vertical="center"/>
    </xf>
    <xf numFmtId="0" fontId="86" fillId="0" borderId="5" xfId="0" applyFont="1" applyBorder="1" applyAlignment="1">
      <alignment horizontal="center" vertical="center"/>
    </xf>
    <xf numFmtId="0" fontId="86" fillId="0" borderId="1" xfId="0" applyFont="1" applyBorder="1" applyAlignment="1">
      <alignment vertical="center" wrapText="1"/>
    </xf>
    <xf numFmtId="0" fontId="86" fillId="0" borderId="0" xfId="0" applyFont="1" applyBorder="1" applyAlignment="1">
      <alignment vertical="center"/>
    </xf>
    <xf numFmtId="0" fontId="86" fillId="0" borderId="1" xfId="0" applyNumberFormat="1" applyFont="1" applyBorder="1" applyAlignment="1">
      <alignment horizontal="center" vertical="center"/>
    </xf>
    <xf numFmtId="2" fontId="120" fillId="0" borderId="1" xfId="0" applyNumberFormat="1" applyFont="1" applyBorder="1" applyAlignment="1">
      <alignment horizontal="center" vertical="center"/>
    </xf>
    <xf numFmtId="0" fontId="86" fillId="0" borderId="1" xfId="0" applyFont="1" applyBorder="1" applyAlignment="1">
      <alignment horizontal="center" vertical="center" wrapText="1"/>
    </xf>
    <xf numFmtId="2" fontId="120" fillId="0" borderId="0" xfId="0" applyNumberFormat="1" applyFont="1" applyBorder="1" applyAlignment="1">
      <alignment horizontal="center" vertical="center"/>
    </xf>
    <xf numFmtId="0" fontId="120" fillId="0" borderId="0" xfId="0" applyFont="1" applyAlignment="1">
      <alignment horizontal="center"/>
    </xf>
    <xf numFmtId="0" fontId="86" fillId="0" borderId="0" xfId="0" applyFont="1"/>
    <xf numFmtId="0" fontId="120" fillId="0" borderId="0" xfId="0" applyFont="1" applyBorder="1" applyAlignment="1">
      <alignment horizontal="center"/>
    </xf>
    <xf numFmtId="0" fontId="120" fillId="0" borderId="43" xfId="0" applyFont="1" applyBorder="1" applyAlignment="1">
      <alignment horizontal="center"/>
    </xf>
    <xf numFmtId="0" fontId="86" fillId="0" borderId="66" xfId="0" applyFont="1" applyBorder="1" applyAlignment="1">
      <alignment horizontal="center" vertical="center"/>
    </xf>
    <xf numFmtId="0" fontId="86" fillId="0" borderId="1" xfId="0" applyFont="1" applyBorder="1" applyAlignment="1">
      <alignment vertical="top" wrapText="1"/>
    </xf>
    <xf numFmtId="0" fontId="86" fillId="0" borderId="1" xfId="0" applyFont="1" applyBorder="1" applyAlignment="1">
      <alignment horizontal="left" vertical="top" wrapText="1"/>
    </xf>
    <xf numFmtId="0" fontId="86" fillId="0" borderId="67" xfId="0" applyFont="1" applyBorder="1" applyAlignment="1">
      <alignment horizontal="center" vertical="center"/>
    </xf>
    <xf numFmtId="0" fontId="86" fillId="0" borderId="4" xfId="0" applyFont="1" applyBorder="1" applyAlignment="1">
      <alignment horizontal="center" vertical="center" wrapText="1"/>
    </xf>
    <xf numFmtId="0" fontId="86" fillId="0" borderId="4" xfId="0" applyFont="1" applyBorder="1" applyAlignment="1">
      <alignment vertical="center"/>
    </xf>
    <xf numFmtId="2" fontId="86" fillId="0" borderId="5" xfId="0" applyNumberFormat="1" applyFont="1" applyBorder="1" applyAlignment="1">
      <alignment horizontal="center" vertical="center"/>
    </xf>
    <xf numFmtId="2" fontId="86" fillId="0" borderId="0" xfId="0" applyNumberFormat="1" applyFont="1" applyBorder="1" applyAlignment="1">
      <alignment horizontal="center" vertical="center"/>
    </xf>
    <xf numFmtId="0" fontId="86" fillId="0" borderId="0" xfId="0" applyFont="1" applyBorder="1"/>
    <xf numFmtId="0" fontId="120" fillId="0" borderId="1" xfId="0" applyFont="1" applyBorder="1" applyAlignment="1">
      <alignment horizontal="center" vertical="center" wrapText="1"/>
    </xf>
    <xf numFmtId="0" fontId="120" fillId="0" borderId="4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center" vertical="center" wrapText="1"/>
    </xf>
    <xf numFmtId="4" fontId="120" fillId="0" borderId="1" xfId="0" applyNumberFormat="1" applyFont="1" applyBorder="1" applyAlignment="1">
      <alignment horizontal="center" vertical="center"/>
    </xf>
    <xf numFmtId="4" fontId="120" fillId="0" borderId="0" xfId="0" applyNumberFormat="1" applyFont="1" applyBorder="1" applyAlignment="1">
      <alignment horizontal="center" vertical="center"/>
    </xf>
    <xf numFmtId="0" fontId="345" fillId="0" borderId="0" xfId="0" applyFont="1" applyBorder="1" applyAlignment="1"/>
    <xf numFmtId="0" fontId="346" fillId="0" borderId="2" xfId="0" applyFont="1" applyBorder="1" applyAlignment="1">
      <alignment horizontal="center" vertical="center" wrapText="1"/>
    </xf>
    <xf numFmtId="0" fontId="346" fillId="0" borderId="0" xfId="0" applyFont="1" applyBorder="1" applyAlignment="1">
      <alignment horizontal="center" vertical="center" wrapText="1"/>
    </xf>
    <xf numFmtId="0" fontId="172" fillId="0" borderId="2" xfId="0" applyFont="1" applyBorder="1" applyAlignment="1">
      <alignment horizontal="center" vertical="center"/>
    </xf>
    <xf numFmtId="0" fontId="172" fillId="0" borderId="0" xfId="0" applyFont="1" applyBorder="1" applyAlignment="1">
      <alignment horizontal="center" vertical="center"/>
    </xf>
    <xf numFmtId="0" fontId="350" fillId="0" borderId="1" xfId="0" applyFont="1" applyBorder="1" applyAlignment="1">
      <alignment horizontal="center" vertical="center"/>
    </xf>
    <xf numFmtId="0" fontId="86" fillId="0" borderId="1" xfId="0" applyFont="1" applyBorder="1" applyAlignment="1">
      <alignment horizontal="center"/>
    </xf>
    <xf numFmtId="0" fontId="86" fillId="118" borderId="0" xfId="0" applyFont="1" applyFill="1"/>
    <xf numFmtId="0" fontId="86" fillId="118" borderId="1" xfId="0" applyFont="1" applyFill="1" applyBorder="1" applyAlignment="1">
      <alignment horizontal="center"/>
    </xf>
    <xf numFmtId="0" fontId="86" fillId="118" borderId="1" xfId="0" applyFont="1" applyFill="1" applyBorder="1"/>
    <xf numFmtId="0" fontId="86" fillId="118" borderId="1" xfId="0" applyFont="1" applyFill="1" applyBorder="1" applyAlignment="1">
      <alignment wrapText="1"/>
    </xf>
    <xf numFmtId="0" fontId="348" fillId="118" borderId="1" xfId="0" applyFont="1" applyFill="1" applyBorder="1" applyAlignment="1">
      <alignment horizontal="left" vertical="center"/>
    </xf>
    <xf numFmtId="0" fontId="350" fillId="118" borderId="1" xfId="0" applyFont="1" applyFill="1" applyBorder="1" applyAlignment="1">
      <alignment horizontal="center" vertical="center"/>
    </xf>
    <xf numFmtId="0" fontId="348" fillId="118" borderId="1" xfId="0" applyFont="1" applyFill="1" applyBorder="1" applyAlignment="1">
      <alignment horizontal="center" vertical="center"/>
    </xf>
    <xf numFmtId="0" fontId="349" fillId="118" borderId="1" xfId="0" applyFont="1" applyFill="1" applyBorder="1" applyAlignment="1">
      <alignment horizontal="right" vertical="center" wrapText="1"/>
    </xf>
    <xf numFmtId="0" fontId="351" fillId="118" borderId="1" xfId="0" applyFont="1" applyFill="1" applyBorder="1" applyAlignment="1">
      <alignment horizontal="center" vertical="center" wrapText="1"/>
    </xf>
    <xf numFmtId="0" fontId="352" fillId="118" borderId="1" xfId="0" applyFont="1" applyFill="1" applyBorder="1"/>
    <xf numFmtId="0" fontId="0" fillId="0" borderId="0" xfId="0" applyAlignment="1">
      <alignment horizontal="center"/>
    </xf>
    <xf numFmtId="0" fontId="354" fillId="0" borderId="1" xfId="0" applyFont="1" applyBorder="1" applyAlignment="1">
      <alignment horizontal="center" vertical="center" wrapText="1"/>
    </xf>
    <xf numFmtId="0" fontId="354" fillId="0" borderId="1" xfId="0" applyFont="1" applyBorder="1" applyAlignment="1">
      <alignment vertical="center" wrapText="1"/>
    </xf>
    <xf numFmtId="0" fontId="354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353" fillId="120" borderId="1" xfId="0" applyFont="1" applyFill="1" applyBorder="1" applyAlignment="1">
      <alignment vertical="center"/>
    </xf>
    <xf numFmtId="0" fontId="0" fillId="120" borderId="0" xfId="0" applyFill="1"/>
    <xf numFmtId="0" fontId="355" fillId="0" borderId="1" xfId="0" applyFont="1" applyBorder="1" applyAlignment="1">
      <alignment horizontal="center" vertical="center"/>
    </xf>
    <xf numFmtId="0" fontId="355" fillId="120" borderId="1" xfId="0" applyFont="1" applyFill="1" applyBorder="1" applyAlignment="1">
      <alignment horizontal="center" vertical="center" wrapText="1"/>
    </xf>
    <xf numFmtId="0" fontId="355" fillId="0" borderId="1" xfId="0" applyFont="1" applyBorder="1" applyAlignment="1">
      <alignment horizontal="center"/>
    </xf>
    <xf numFmtId="0" fontId="356" fillId="119" borderId="1" xfId="0" applyFont="1" applyFill="1" applyBorder="1" applyAlignment="1">
      <alignment vertical="center"/>
    </xf>
    <xf numFmtId="0" fontId="356" fillId="119" borderId="1" xfId="0" applyFont="1" applyFill="1" applyBorder="1" applyAlignment="1">
      <alignment horizontal="center" vertical="center"/>
    </xf>
    <xf numFmtId="0" fontId="355" fillId="120" borderId="1" xfId="0" applyFont="1" applyFill="1" applyBorder="1" applyAlignment="1">
      <alignment vertical="center" wrapText="1"/>
    </xf>
    <xf numFmtId="0" fontId="356" fillId="119" borderId="1" xfId="0" applyFont="1" applyFill="1" applyBorder="1" applyAlignment="1">
      <alignment horizontal="center"/>
    </xf>
    <xf numFmtId="0" fontId="356" fillId="0" borderId="1" xfId="0" applyFont="1" applyBorder="1" applyAlignment="1">
      <alignment vertical="center"/>
    </xf>
    <xf numFmtId="0" fontId="356" fillId="0" borderId="1" xfId="0" applyFont="1" applyBorder="1" applyAlignment="1">
      <alignment horizontal="center"/>
    </xf>
    <xf numFmtId="0" fontId="356" fillId="0" borderId="1" xfId="0" applyFont="1" applyBorder="1" applyAlignment="1">
      <alignment horizontal="center" vertical="center"/>
    </xf>
    <xf numFmtId="0" fontId="356" fillId="120" borderId="1" xfId="0" applyFont="1" applyFill="1" applyBorder="1" applyAlignment="1">
      <alignment vertical="center"/>
    </xf>
    <xf numFmtId="0" fontId="356" fillId="120" borderId="1" xfId="0" applyFont="1" applyFill="1" applyBorder="1" applyAlignment="1">
      <alignment horizontal="center"/>
    </xf>
    <xf numFmtId="0" fontId="356" fillId="120" borderId="1" xfId="0" applyFont="1" applyFill="1" applyBorder="1" applyAlignment="1">
      <alignment horizontal="center" vertical="center"/>
    </xf>
    <xf numFmtId="0" fontId="355" fillId="119" borderId="1" xfId="0" applyFont="1" applyFill="1" applyBorder="1" applyAlignment="1">
      <alignment horizontal="right" vertical="center" wrapText="1"/>
    </xf>
    <xf numFmtId="0" fontId="355" fillId="119" borderId="1" xfId="0" applyFont="1" applyFill="1" applyBorder="1" applyAlignment="1">
      <alignment horizontal="center" vertical="center" wrapText="1"/>
    </xf>
    <xf numFmtId="0" fontId="355" fillId="120" borderId="1" xfId="0" applyFont="1" applyFill="1" applyBorder="1" applyAlignment="1">
      <alignment horizontal="right" vertical="center" wrapText="1"/>
    </xf>
    <xf numFmtId="0" fontId="355" fillId="0" borderId="1" xfId="0" applyFont="1" applyBorder="1" applyAlignment="1">
      <alignment horizontal="right" vertical="center" wrapText="1"/>
    </xf>
    <xf numFmtId="0" fontId="355" fillId="0" borderId="1" xfId="0" applyFont="1" applyBorder="1" applyAlignment="1">
      <alignment horizontal="center" vertical="center" wrapText="1"/>
    </xf>
    <xf numFmtId="0" fontId="356" fillId="119" borderId="1" xfId="0" applyFont="1" applyFill="1" applyBorder="1" applyAlignment="1">
      <alignment horizontal="center" vertical="center" wrapText="1"/>
    </xf>
    <xf numFmtId="0" fontId="356" fillId="0" borderId="1" xfId="0" applyFont="1" applyBorder="1" applyAlignment="1">
      <alignment horizontal="center" vertical="center" wrapText="1"/>
    </xf>
    <xf numFmtId="0" fontId="356" fillId="119" borderId="1" xfId="0" applyFont="1" applyFill="1" applyBorder="1" applyAlignment="1">
      <alignment vertical="center" wrapText="1"/>
    </xf>
    <xf numFmtId="4" fontId="355" fillId="0" borderId="1" xfId="0" applyNumberFormat="1" applyFont="1" applyBorder="1" applyAlignment="1">
      <alignment horizontal="center"/>
    </xf>
    <xf numFmtId="0" fontId="355" fillId="120" borderId="1" xfId="0" applyFont="1" applyFill="1" applyBorder="1" applyAlignment="1">
      <alignment horizontal="right" vertical="center" wrapText="1"/>
    </xf>
    <xf numFmtId="0" fontId="355" fillId="119" borderId="1" xfId="0" applyFont="1" applyFill="1" applyBorder="1" applyAlignment="1">
      <alignment horizontal="center" vertical="center" wrapText="1"/>
    </xf>
    <xf numFmtId="0" fontId="356" fillId="119" borderId="1" xfId="0" applyFont="1" applyFill="1" applyBorder="1" applyAlignment="1">
      <alignment horizontal="center" vertical="center" wrapText="1"/>
    </xf>
    <xf numFmtId="0" fontId="354" fillId="0" borderId="1" xfId="0" applyFont="1" applyBorder="1" applyAlignment="1">
      <alignment horizontal="right" vertical="center" wrapText="1"/>
    </xf>
    <xf numFmtId="0" fontId="356" fillId="118" borderId="1" xfId="0" applyFont="1" applyFill="1" applyBorder="1" applyAlignment="1">
      <alignment vertical="center" wrapText="1"/>
    </xf>
    <xf numFmtId="0" fontId="356" fillId="118" borderId="1" xfId="0" applyFont="1" applyFill="1" applyBorder="1" applyAlignment="1">
      <alignment horizontal="center" vertical="center" wrapText="1"/>
    </xf>
    <xf numFmtId="0" fontId="356" fillId="121" borderId="1" xfId="0" applyFont="1" applyFill="1" applyBorder="1" applyAlignment="1">
      <alignment vertical="center"/>
    </xf>
    <xf numFmtId="0" fontId="356" fillId="121" borderId="1" xfId="0" applyFont="1" applyFill="1" applyBorder="1" applyAlignment="1">
      <alignment horizontal="center" vertical="center"/>
    </xf>
    <xf numFmtId="0" fontId="356" fillId="121" borderId="1" xfId="0" applyFont="1" applyFill="1" applyBorder="1" applyAlignment="1">
      <alignment vertical="center" wrapText="1"/>
    </xf>
    <xf numFmtId="0" fontId="356" fillId="121" borderId="1" xfId="0" applyFont="1" applyFill="1" applyBorder="1" applyAlignment="1">
      <alignment horizontal="center" vertical="center" wrapText="1"/>
    </xf>
    <xf numFmtId="0" fontId="358" fillId="0" borderId="0" xfId="0" applyFont="1" applyBorder="1" applyAlignment="1">
      <alignment horizontal="justify" vertical="center" wrapText="1"/>
    </xf>
    <xf numFmtId="0" fontId="358" fillId="0" borderId="0" xfId="0" applyFont="1" applyBorder="1" applyAlignment="1">
      <alignment horizontal="right" vertical="center" wrapText="1"/>
    </xf>
    <xf numFmtId="0" fontId="357" fillId="0" borderId="0" xfId="0" applyFont="1" applyBorder="1" applyAlignment="1">
      <alignment horizontal="right" vertical="center" wrapText="1"/>
    </xf>
    <xf numFmtId="0" fontId="357" fillId="0" borderId="0" xfId="0" applyFont="1" applyBorder="1" applyAlignment="1">
      <alignment horizontal="justify" vertical="center" wrapText="1"/>
    </xf>
    <xf numFmtId="0" fontId="357" fillId="0" borderId="0" xfId="0" applyFont="1" applyBorder="1" applyAlignment="1">
      <alignment vertical="center" wrapText="1"/>
    </xf>
    <xf numFmtId="0" fontId="86" fillId="0" borderId="68" xfId="0" applyFont="1" applyBorder="1" applyAlignment="1">
      <alignment horizontal="right"/>
    </xf>
    <xf numFmtId="0" fontId="120" fillId="0" borderId="4" xfId="0" applyFont="1" applyBorder="1" applyAlignment="1">
      <alignment horizontal="center" vertical="center" wrapText="1"/>
    </xf>
    <xf numFmtId="0" fontId="348" fillId="122" borderId="1" xfId="0" applyFont="1" applyFill="1" applyBorder="1" applyAlignment="1">
      <alignment horizontal="left" vertical="center"/>
    </xf>
    <xf numFmtId="0" fontId="348" fillId="123" borderId="1" xfId="0" applyFont="1" applyFill="1" applyBorder="1" applyAlignment="1">
      <alignment horizontal="left" vertical="center"/>
    </xf>
    <xf numFmtId="0" fontId="348" fillId="124" borderId="1" xfId="0" applyFont="1" applyFill="1" applyBorder="1" applyAlignment="1">
      <alignment horizontal="left" vertical="center"/>
    </xf>
    <xf numFmtId="0" fontId="348" fillId="121" borderId="1" xfId="0" applyFont="1" applyFill="1" applyBorder="1" applyAlignment="1">
      <alignment horizontal="left" vertical="center"/>
    </xf>
    <xf numFmtId="0" fontId="348" fillId="125" borderId="1" xfId="0" applyFont="1" applyFill="1" applyBorder="1" applyAlignment="1">
      <alignment horizontal="left" vertical="center"/>
    </xf>
    <xf numFmtId="49" fontId="348" fillId="124" borderId="1" xfId="0" applyNumberFormat="1" applyFont="1" applyFill="1" applyBorder="1" applyAlignment="1">
      <alignment horizontal="left" vertical="center" wrapText="1"/>
    </xf>
    <xf numFmtId="0" fontId="86" fillId="118" borderId="1" xfId="0" applyFont="1" applyFill="1" applyBorder="1" applyAlignment="1">
      <alignment horizontal="center" vertical="center"/>
    </xf>
    <xf numFmtId="0" fontId="86" fillId="118" borderId="1" xfId="0" applyFont="1" applyFill="1" applyBorder="1" applyAlignment="1">
      <alignment vertical="center"/>
    </xf>
    <xf numFmtId="0" fontId="86" fillId="0" borderId="0" xfId="0" applyFont="1" applyAlignment="1">
      <alignment vertical="center"/>
    </xf>
    <xf numFmtId="0" fontId="348" fillId="124" borderId="1" xfId="0" applyFont="1" applyFill="1" applyBorder="1" applyAlignment="1">
      <alignment horizontal="left" vertical="center" wrapText="1"/>
    </xf>
    <xf numFmtId="0" fontId="86" fillId="121" borderId="0" xfId="0" applyFont="1" applyFill="1"/>
    <xf numFmtId="0" fontId="86" fillId="125" borderId="0" xfId="0" applyFont="1" applyFill="1"/>
    <xf numFmtId="0" fontId="86" fillId="0" borderId="0" xfId="0" applyFont="1" applyFill="1"/>
    <xf numFmtId="4" fontId="86" fillId="0" borderId="1" xfId="0" applyNumberFormat="1" applyFont="1" applyBorder="1" applyAlignment="1">
      <alignment horizontal="center" vertical="center" wrapText="1"/>
    </xf>
    <xf numFmtId="0" fontId="120" fillId="0" borderId="3" xfId="0" applyFont="1" applyBorder="1" applyAlignment="1">
      <alignment horizontal="center" vertical="center" wrapText="1"/>
    </xf>
    <xf numFmtId="0" fontId="86" fillId="0" borderId="1" xfId="0" applyFont="1" applyBorder="1"/>
    <xf numFmtId="0" fontId="348" fillId="119" borderId="1" xfId="0" applyFont="1" applyFill="1" applyBorder="1" applyAlignment="1">
      <alignment horizontal="justify" vertical="center"/>
    </xf>
    <xf numFmtId="0" fontId="86" fillId="119" borderId="1" xfId="0" applyFont="1" applyFill="1" applyBorder="1"/>
    <xf numFmtId="3" fontId="86" fillId="119" borderId="1" xfId="0" applyNumberFormat="1" applyFont="1" applyFill="1" applyBorder="1"/>
    <xf numFmtId="0" fontId="86" fillId="119" borderId="1" xfId="0" applyFont="1" applyFill="1" applyBorder="1" applyAlignment="1">
      <alignment wrapText="1"/>
    </xf>
    <xf numFmtId="4" fontId="359" fillId="119" borderId="1" xfId="0" applyNumberFormat="1" applyFont="1" applyFill="1" applyBorder="1"/>
    <xf numFmtId="3" fontId="359" fillId="119" borderId="1" xfId="0" applyNumberFormat="1" applyFont="1" applyFill="1" applyBorder="1"/>
    <xf numFmtId="0" fontId="350" fillId="119" borderId="1" xfId="0" applyFont="1" applyFill="1" applyBorder="1" applyAlignment="1">
      <alignment horizontal="justify" vertical="top"/>
    </xf>
    <xf numFmtId="1" fontId="86" fillId="119" borderId="1" xfId="0" applyNumberFormat="1" applyFont="1" applyFill="1" applyBorder="1"/>
    <xf numFmtId="1" fontId="86" fillId="0" borderId="1" xfId="0" applyNumberFormat="1" applyFont="1" applyBorder="1"/>
    <xf numFmtId="0" fontId="120" fillId="0" borderId="0" xfId="0" applyFont="1" applyAlignment="1"/>
    <xf numFmtId="1" fontId="86" fillId="0" borderId="0" xfId="0" applyNumberFormat="1" applyFont="1"/>
    <xf numFmtId="0" fontId="120" fillId="0" borderId="0" xfId="0" applyFont="1" applyBorder="1" applyAlignment="1">
      <alignment horizontal="center"/>
    </xf>
    <xf numFmtId="0" fontId="298" fillId="119" borderId="1" xfId="2225" applyFill="1" applyBorder="1" applyAlignment="1">
      <alignment horizontal="justify" vertical="top"/>
    </xf>
    <xf numFmtId="0" fontId="86" fillId="119" borderId="1" xfId="0" applyFont="1" applyFill="1" applyBorder="1" applyAlignment="1">
      <alignment horizontal="justify" vertical="top"/>
    </xf>
    <xf numFmtId="0" fontId="348" fillId="119" borderId="1" xfId="0" applyFont="1" applyFill="1" applyBorder="1" applyAlignment="1">
      <alignment horizontal="justify" vertical="top"/>
    </xf>
    <xf numFmtId="0" fontId="86" fillId="118" borderId="1" xfId="0" applyFont="1" applyFill="1" applyBorder="1" applyAlignment="1">
      <alignment horizontal="justify" vertical="top" wrapText="1"/>
    </xf>
    <xf numFmtId="0" fontId="86" fillId="0" borderId="0" xfId="0" applyFont="1" applyBorder="1" applyAlignment="1">
      <alignment horizontal="left"/>
    </xf>
    <xf numFmtId="0" fontId="86" fillId="119" borderId="1" xfId="0" applyFont="1" applyFill="1" applyBorder="1" applyAlignment="1">
      <alignment vertical="top"/>
    </xf>
    <xf numFmtId="0" fontId="86" fillId="0" borderId="1" xfId="0" applyFont="1" applyBorder="1" applyAlignment="1">
      <alignment vertical="top"/>
    </xf>
    <xf numFmtId="1" fontId="86" fillId="0" borderId="1" xfId="0" applyNumberFormat="1" applyFont="1" applyBorder="1" applyAlignment="1">
      <alignment vertical="top"/>
    </xf>
    <xf numFmtId="0" fontId="298" fillId="0" borderId="1" xfId="2225" applyBorder="1" applyAlignment="1">
      <alignment vertical="top"/>
    </xf>
    <xf numFmtId="2" fontId="120" fillId="0" borderId="1" xfId="0" applyNumberFormat="1" applyFont="1" applyBorder="1" applyAlignment="1">
      <alignment vertical="top"/>
    </xf>
    <xf numFmtId="0" fontId="120" fillId="0" borderId="0" xfId="0" applyFont="1" applyBorder="1" applyAlignment="1">
      <alignment horizontal="left"/>
    </xf>
    <xf numFmtId="0" fontId="172" fillId="0" borderId="66" xfId="0" applyFont="1" applyBorder="1" applyAlignment="1">
      <alignment horizontal="right"/>
    </xf>
    <xf numFmtId="0" fontId="347" fillId="0" borderId="2" xfId="0" applyFont="1" applyBorder="1" applyAlignment="1">
      <alignment horizontal="right"/>
    </xf>
    <xf numFmtId="0" fontId="347" fillId="0" borderId="3" xfId="0" applyFont="1" applyBorder="1" applyAlignment="1">
      <alignment horizontal="right"/>
    </xf>
    <xf numFmtId="0" fontId="120" fillId="0" borderId="66" xfId="0" applyFont="1" applyBorder="1" applyAlignment="1">
      <alignment horizontal="center" vertical="center" wrapText="1"/>
    </xf>
    <xf numFmtId="0" fontId="346" fillId="0" borderId="3" xfId="0" applyFont="1" applyBorder="1" applyAlignment="1">
      <alignment horizontal="center" vertical="center" wrapText="1"/>
    </xf>
    <xf numFmtId="4" fontId="172" fillId="0" borderId="66" xfId="0" applyNumberFormat="1" applyFont="1" applyBorder="1" applyAlignment="1">
      <alignment horizontal="center" vertical="center"/>
    </xf>
    <xf numFmtId="0" fontId="172" fillId="0" borderId="3" xfId="0" applyFont="1" applyBorder="1" applyAlignment="1">
      <alignment horizontal="center" vertical="center"/>
    </xf>
    <xf numFmtId="0" fontId="120" fillId="0" borderId="1" xfId="0" applyFont="1" applyBorder="1" applyAlignment="1">
      <alignment horizontal="right" vertical="center"/>
    </xf>
    <xf numFmtId="0" fontId="345" fillId="0" borderId="1" xfId="0" applyFont="1" applyBorder="1" applyAlignment="1"/>
    <xf numFmtId="0" fontId="120" fillId="0" borderId="0" xfId="0" applyFont="1" applyBorder="1" applyAlignment="1">
      <alignment horizontal="right"/>
    </xf>
    <xf numFmtId="0" fontId="346" fillId="0" borderId="0" xfId="0" applyFont="1" applyBorder="1" applyAlignment="1">
      <alignment horizontal="right"/>
    </xf>
    <xf numFmtId="0" fontId="86" fillId="0" borderId="0" xfId="0" applyFont="1" applyBorder="1" applyAlignment="1"/>
    <xf numFmtId="0" fontId="345" fillId="0" borderId="0" xfId="0" applyFont="1" applyBorder="1" applyAlignment="1"/>
    <xf numFmtId="0" fontId="86" fillId="0" borderId="1" xfId="0" applyFont="1" applyBorder="1" applyAlignment="1"/>
    <xf numFmtId="4" fontId="86" fillId="0" borderId="1" xfId="0" applyNumberFormat="1" applyFont="1" applyBorder="1" applyAlignment="1">
      <alignment horizontal="center" vertical="center" wrapText="1"/>
    </xf>
    <xf numFmtId="0" fontId="86" fillId="0" borderId="1" xfId="0" applyFont="1" applyBorder="1" applyAlignment="1">
      <alignment horizontal="left" vertical="center" wrapText="1"/>
    </xf>
    <xf numFmtId="0" fontId="120" fillId="0" borderId="1" xfId="0" applyFont="1" applyBorder="1" applyAlignment="1">
      <alignment horizontal="center" vertical="center" wrapText="1"/>
    </xf>
    <xf numFmtId="0" fontId="86" fillId="0" borderId="66" xfId="0" applyFont="1" applyBorder="1" applyAlignment="1">
      <alignment horizontal="left" vertical="center" wrapText="1"/>
    </xf>
    <xf numFmtId="0" fontId="86" fillId="0" borderId="3" xfId="0" applyFont="1" applyBorder="1" applyAlignment="1">
      <alignment horizontal="left" vertical="center" wrapText="1"/>
    </xf>
    <xf numFmtId="0" fontId="120" fillId="0" borderId="4" xfId="0" applyFont="1" applyBorder="1" applyAlignment="1">
      <alignment horizontal="center" vertical="center" wrapText="1"/>
    </xf>
    <xf numFmtId="0" fontId="120" fillId="0" borderId="5" xfId="0" applyFont="1" applyBorder="1" applyAlignment="1">
      <alignment horizontal="center" vertical="center" wrapText="1"/>
    </xf>
    <xf numFmtId="0" fontId="120" fillId="0" borderId="2" xfId="0" applyFont="1" applyBorder="1" applyAlignment="1">
      <alignment horizontal="center" vertical="center" wrapText="1"/>
    </xf>
    <xf numFmtId="0" fontId="120" fillId="0" borderId="3" xfId="0" applyFont="1" applyBorder="1" applyAlignment="1">
      <alignment horizontal="center" vertical="center" wrapText="1"/>
    </xf>
    <xf numFmtId="0" fontId="344" fillId="0" borderId="4" xfId="0" applyFont="1" applyBorder="1" applyAlignment="1">
      <alignment horizontal="center" vertical="center" wrapText="1"/>
    </xf>
    <xf numFmtId="0" fontId="344" fillId="0" borderId="5" xfId="0" applyFont="1" applyBorder="1" applyAlignment="1">
      <alignment horizontal="center" vertical="center" wrapText="1"/>
    </xf>
    <xf numFmtId="0" fontId="86" fillId="118" borderId="66" xfId="0" applyFont="1" applyFill="1" applyBorder="1" applyAlignment="1">
      <alignment horizontal="left"/>
    </xf>
    <xf numFmtId="0" fontId="86" fillId="118" borderId="2" xfId="0" applyFont="1" applyFill="1" applyBorder="1" applyAlignment="1">
      <alignment horizontal="left"/>
    </xf>
    <xf numFmtId="0" fontId="86" fillId="118" borderId="3" xfId="0" applyFont="1" applyFill="1" applyBorder="1" applyAlignment="1">
      <alignment horizontal="left"/>
    </xf>
    <xf numFmtId="0" fontId="120" fillId="0" borderId="0" xfId="0" applyFont="1" applyAlignment="1">
      <alignment horizontal="center"/>
    </xf>
    <xf numFmtId="0" fontId="120" fillId="0" borderId="0" xfId="0" applyFont="1" applyBorder="1" applyAlignment="1">
      <alignment horizontal="center"/>
    </xf>
    <xf numFmtId="0" fontId="86" fillId="0" borderId="24" xfId="0" applyFont="1" applyBorder="1" applyAlignment="1">
      <alignment horizontal="right"/>
    </xf>
    <xf numFmtId="0" fontId="86" fillId="0" borderId="68" xfId="0" applyFont="1" applyBorder="1" applyAlignment="1">
      <alignment horizontal="right"/>
    </xf>
    <xf numFmtId="4" fontId="86" fillId="0" borderId="3" xfId="0" applyNumberFormat="1" applyFont="1" applyBorder="1" applyAlignment="1">
      <alignment horizontal="center" vertical="center" wrapText="1"/>
    </xf>
    <xf numFmtId="0" fontId="353" fillId="0" borderId="1" xfId="0" applyFont="1" applyBorder="1" applyAlignment="1">
      <alignment horizontal="center" vertical="center"/>
    </xf>
    <xf numFmtId="0" fontId="354" fillId="0" borderId="1" xfId="0" applyFont="1" applyBorder="1" applyAlignment="1">
      <alignment horizontal="right" vertical="center" wrapText="1"/>
    </xf>
    <xf numFmtId="0" fontId="355" fillId="119" borderId="1" xfId="0" applyFont="1" applyFill="1" applyBorder="1" applyAlignment="1">
      <alignment horizontal="center" vertical="center" wrapText="1"/>
    </xf>
    <xf numFmtId="0" fontId="356" fillId="119" borderId="1" xfId="0" applyFont="1" applyFill="1" applyBorder="1" applyAlignment="1">
      <alignment horizontal="center" vertical="center" wrapText="1"/>
    </xf>
    <xf numFmtId="0" fontId="355" fillId="120" borderId="1" xfId="0" applyFont="1" applyFill="1" applyBorder="1" applyAlignment="1">
      <alignment vertical="center" wrapText="1"/>
    </xf>
    <xf numFmtId="0" fontId="355" fillId="0" borderId="1" xfId="0" applyFont="1" applyBorder="1" applyAlignment="1">
      <alignment horizontal="center" vertical="center"/>
    </xf>
    <xf numFmtId="0" fontId="354" fillId="0" borderId="1" xfId="0" applyFont="1" applyBorder="1" applyAlignment="1">
      <alignment vertical="center" wrapText="1"/>
    </xf>
    <xf numFmtId="0" fontId="356" fillId="0" borderId="1" xfId="0" applyFont="1" applyBorder="1" applyAlignment="1">
      <alignment horizontal="center" vertical="center"/>
    </xf>
    <xf numFmtId="0" fontId="353" fillId="0" borderId="1" xfId="0" applyFont="1" applyBorder="1" applyAlignment="1">
      <alignment horizontal="left" vertical="center"/>
    </xf>
    <xf numFmtId="0" fontId="355" fillId="120" borderId="1" xfId="0" applyFont="1" applyFill="1" applyBorder="1" applyAlignment="1">
      <alignment horizontal="right" vertical="center" wrapText="1"/>
    </xf>
  </cellXfs>
  <cellStyles count="2226">
    <cellStyle name=" 1" xfId="2"/>
    <cellStyle name=" Verticals" xfId="3"/>
    <cellStyle name="_x000a_bidires=100_x000d_" xfId="4"/>
    <cellStyle name="_x000a_bidires=100_x000d_ 2" xfId="5"/>
    <cellStyle name="_x000a_bidires=100_x000d_ 3" xfId="6"/>
    <cellStyle name="_x000a_bidires=100_x000d__Анализ индикаторов на обесценение ИРРАО" xfId="7"/>
    <cellStyle name="?_x0001_" xfId="8"/>
    <cellStyle name="?_x0001__x0001_ ?§??_x0002_????_x000f__x0008_??f_x0006__x0010_?????yyyyyyyyyyyyyyy" xfId="9"/>
    <cellStyle name="?_x0001__Анализ индикаторов на обесценение ИРРАО" xfId="10"/>
    <cellStyle name="?…?ж?Ш?и [0.00]" xfId="11"/>
    <cellStyle name="?W??_‘O’с?р??" xfId="12"/>
    <cellStyle name="]_x000d__x000a_Zoomed=1_x000d__x000a_Row=0_x000d__x000a_Column=0_x000d__x000a_Height=0_x000d__x000a_Width=0_x000d__x000a_FontName=FoxFont_x000d__x000a_FontStyle=0_x000d__x000a_FontSize=9_x000d__x000a_PrtFontName=FoxPrin" xfId="13"/>
    <cellStyle name="_09 03 23 ДСПиКК_Макро_параметры_ДЗОlast" xfId="14"/>
    <cellStyle name="_1_²ÜºÈÆø" xfId="15"/>
    <cellStyle name="_16. РАСЧЕТ ИЗВЛЕЧЕНИЯ АЛМАЗОВ И ТОВАРНАЯ ПРОДУКЦИЯ - печать" xfId="16"/>
    <cellStyle name="_2005_БЮДЖЕТ В4 ==11.11.==  КР Дороги, Мосты" xfId="17"/>
    <cellStyle name="_2006_06_28_MGRES_inventories_request" xfId="18"/>
    <cellStyle name="_20090317_MUSE_Final_DRAFT" xfId="19"/>
    <cellStyle name="_3 кв 2006 Свод_140706" xfId="20"/>
    <cellStyle name="_61pril11_mod" xfId="21"/>
    <cellStyle name="_61pril11_mod 2" xfId="22"/>
    <cellStyle name="_61pril11_mod 3" xfId="23"/>
    <cellStyle name="_61pril11_mod 4" xfId="24"/>
    <cellStyle name="_61pril11_mod_~9660252" xfId="25"/>
    <cellStyle name="_61pril11_mod_01.10.05" xfId="26"/>
    <cellStyle name="_61pril11_mod_01.10.05 2" xfId="27"/>
    <cellStyle name="_61pril11_mod_01.10.05 3" xfId="28"/>
    <cellStyle name="_61pril11_mod_01.10.05 4" xfId="29"/>
    <cellStyle name="_61pril11_mod_01.10.05_~9660252" xfId="30"/>
    <cellStyle name="_61pril11_mod_01.10.05_E-10" xfId="31"/>
    <cellStyle name="_61pril11_mod_01.10.05_FSL_Prime Fitness_HY_2008" xfId="32"/>
    <cellStyle name="_61pril11_mod_01.10.05_FSL_SBOI_07" xfId="33"/>
    <cellStyle name="_61pril11_mod_01.10.05_FSL_SBOI_07_BOG" xfId="34"/>
    <cellStyle name="_61pril11_mod_01.10.05_FSL_SBOI_08" xfId="35"/>
    <cellStyle name="_61pril11_mod_01.10.05_GTC Report June 2008 IG KC 080616" xfId="36"/>
    <cellStyle name="_61pril11_mod_01.10.05_LC Trial Balances 2008" xfId="37"/>
    <cellStyle name="_61pril11_mod_01.10.05_LOC_Guarantees  IFRS adj  calc  T KH _27 12 08 (version 1)" xfId="38"/>
    <cellStyle name="_61pril11_mod_01.10.05_Prime Fitness_IFRS FS  Disclosures_June 2008 reviewed" xfId="39"/>
    <cellStyle name="_61pril11_mod_01.10.05_Trail Balance" xfId="40"/>
    <cellStyle name="_61pril11_mod_01.11.05" xfId="41"/>
    <cellStyle name="_61pril11_mod_01.11.05 2" xfId="42"/>
    <cellStyle name="_61pril11_mod_01.11.05 3" xfId="43"/>
    <cellStyle name="_61pril11_mod_01.11.05 4" xfId="44"/>
    <cellStyle name="_61pril11_mod_01.11.05_~9660252" xfId="45"/>
    <cellStyle name="_61pril11_mod_01.11.05_E-10" xfId="46"/>
    <cellStyle name="_61pril11_mod_01.11.05_FSL_Prime Fitness_HY_2008" xfId="47"/>
    <cellStyle name="_61pril11_mod_01.11.05_FSL_SBOI_07" xfId="48"/>
    <cellStyle name="_61pril11_mod_01.11.05_FSL_SBOI_07_BOG" xfId="49"/>
    <cellStyle name="_61pril11_mod_01.11.05_FSL_SBOI_08" xfId="50"/>
    <cellStyle name="_61pril11_mod_01.11.05_GTC Report June 2008 IG KC 080616" xfId="51"/>
    <cellStyle name="_61pril11_mod_01.11.05_LC Trial Balances 2008" xfId="52"/>
    <cellStyle name="_61pril11_mod_01.11.05_LOC_Guarantees  IFRS adj  calc  T KH _27 12 08 (version 1)" xfId="53"/>
    <cellStyle name="_61pril11_mod_01.11.05_Prime Fitness_IFRS FS  Disclosures_June 2008 reviewed" xfId="54"/>
    <cellStyle name="_61pril11_mod_01.11.05_Trail Balance" xfId="55"/>
    <cellStyle name="_61pril11_mod_E-10" xfId="56"/>
    <cellStyle name="_61pril11_mod_FSL_Prime Fitness_HY_2008" xfId="57"/>
    <cellStyle name="_61pril11_mod_FSL_SBOI_07" xfId="58"/>
    <cellStyle name="_61pril11_mod_FSL_SBOI_07_BOG" xfId="59"/>
    <cellStyle name="_61pril11_mod_FSL_SBOI_08" xfId="60"/>
    <cellStyle name="_61pril11_mod_GTC Report June 2008 IG KC 080616" xfId="61"/>
    <cellStyle name="_61pril11_mod_LC Trial Balances 2008" xfId="62"/>
    <cellStyle name="_61pril11_mod_LOC_Guarantees  IFRS adj  calc  T KH _27 12 08 (version 1)" xfId="63"/>
    <cellStyle name="_61pril11_mod_Prime Fitness_IFRS FS  Disclosures_June 2008 reviewed" xfId="64"/>
    <cellStyle name="_61pril11_mod_Trail Balance" xfId="65"/>
    <cellStyle name="_7_WACC" xfId="66"/>
    <cellStyle name="_8. Sochinskaya TTP model" xfId="67"/>
    <cellStyle name="_AN-124_SP35" xfId="68"/>
    <cellStyle name="_Analogs Sales EBITDA per employee" xfId="69"/>
    <cellStyle name="_balance_sheet_010106" xfId="70"/>
    <cellStyle name="_balance_sheet_010106 2" xfId="71"/>
    <cellStyle name="_balance_sheet_010106 3" xfId="72"/>
    <cellStyle name="_balance_sheet_010106 4" xfId="73"/>
    <cellStyle name="_balance_sheet_010106_~9660252" xfId="74"/>
    <cellStyle name="_balance_sheet_010106_E-10" xfId="75"/>
    <cellStyle name="_balance_sheet_010106_FSL_Prime Fitness_HY_2008" xfId="76"/>
    <cellStyle name="_balance_sheet_010106_FSL_SBOI_07" xfId="77"/>
    <cellStyle name="_balance_sheet_010106_FSL_SBOI_07_BOG" xfId="78"/>
    <cellStyle name="_balance_sheet_010106_FSL_SBOI_08" xfId="79"/>
    <cellStyle name="_balance_sheet_010106_GTC Report June 2008 IG KC 080616" xfId="80"/>
    <cellStyle name="_balance_sheet_010106_LC Trial Balances 2008" xfId="81"/>
    <cellStyle name="_balance_sheet_010106_LOC_Guarantees  IFRS adj  calc  T KH _27 12 08 (version 1)" xfId="82"/>
    <cellStyle name="_balance_sheet_010106_Prime Fitness_IFRS FS  Disclosures_June 2008 reviewed" xfId="83"/>
    <cellStyle name="_balance_sheet_010106_Trail Balance" xfId="84"/>
    <cellStyle name="_BS-IS-CFS" xfId="85"/>
    <cellStyle name="_CAP Exhibits_Company_TAX" xfId="86"/>
    <cellStyle name="_ColumnTitles" xfId="87"/>
    <cellStyle name="_Comparative price - history 2" xfId="88"/>
    <cellStyle name="_Comparatives_exp" xfId="89"/>
    <cellStyle name="_Copy of DCF_30062008_v6" xfId="90"/>
    <cellStyle name="_Copy of ggDerivatives_06_Request" xfId="91"/>
    <cellStyle name="_CurrencySpace_04 Medfenix Company Model1" xfId="92"/>
    <cellStyle name="_CurrencySpace_04 Medfenix Company Model1 2" xfId="93"/>
    <cellStyle name="_CurrencySpace_04 Medfenix Company Model1 3" xfId="94"/>
    <cellStyle name="_DateRange" xfId="95"/>
    <cellStyle name="_deals 2008" xfId="96"/>
    <cellStyle name="_Distribution model RSK v 33" xfId="97"/>
    <cellStyle name="_DTF 22-02-08 v2" xfId="98"/>
    <cellStyle name="_DTF 22-02-08 v2_DPM 87 (начало)_20.06.2011_20.30" xfId="99"/>
    <cellStyle name="_DTF 22-02-08 v2_TheModel 06.04.2011" xfId="100"/>
    <cellStyle name="_DTF 22-02-08 v2_TheModel 08.04.2011" xfId="101"/>
    <cellStyle name="_DTF 22-02-08 v2_TheModel 15.04.2011_генерация" xfId="102"/>
    <cellStyle name="_DTF 22-02-08 v2_TheModel_30_2012" xfId="103"/>
    <cellStyle name="_DTF 22-02-08 v2_Valuation_RKSEnergo 03.03.2011" xfId="104"/>
    <cellStyle name="_DTF 22-02-08 v2_Valuation_RKSEnergo 03.03.2011_DPM 87 (начало)_20.06.2011_20.30" xfId="105"/>
    <cellStyle name="_DTF 22-02-08 v2_Valuation_RKSEnergo 03.03.2011_TheModel 15.04.2011_генерация" xfId="106"/>
    <cellStyle name="_DTF 22-02-08 v2_Valuation_RKSEnergo 03.03.2011_TheModel_30_2012" xfId="107"/>
    <cellStyle name="_DTF 22-02-08 v2_Valuation_RKSEnergo 03.03.2011_шаблон для заполнения" xfId="108"/>
    <cellStyle name="_DTF 22-02-08 v2_Valuation_RKSEnergo 03.03.2011_шаблон для заполнения4" xfId="109"/>
    <cellStyle name="_DTF 22-02-08 v2_Valuation_RKSEnergo 03.03.2011_шаблон для теста на обесценение" xfId="110"/>
    <cellStyle name="_DTF 22-02-08 v2_шаблон для заполнения" xfId="111"/>
    <cellStyle name="_DTF 22-02-08 v2_шаблон для заполнения4" xfId="112"/>
    <cellStyle name="_DTF 22-02-08 v2_шаблон для теста на обесценение" xfId="113"/>
    <cellStyle name="_Ekibastuz 21 05" xfId="114"/>
    <cellStyle name="_Exhibits BV rus final" xfId="115"/>
    <cellStyle name="_FFF" xfId="116"/>
    <cellStyle name="_FFF_New Form10_2" xfId="117"/>
    <cellStyle name="_FFF_Nsi" xfId="118"/>
    <cellStyle name="_FFF_Nsi_1" xfId="119"/>
    <cellStyle name="_FFF_Nsi_139" xfId="120"/>
    <cellStyle name="_FFF_Nsi_140" xfId="121"/>
    <cellStyle name="_FFF_Nsi_140(Зах)" xfId="122"/>
    <cellStyle name="_FFF_Nsi_140_mod" xfId="123"/>
    <cellStyle name="_FFF_Summary" xfId="124"/>
    <cellStyle name="_FFF_Tax_form_1кв_3" xfId="125"/>
    <cellStyle name="_FFF_БКЭ" xfId="126"/>
    <cellStyle name="_Final_Book_010301" xfId="127"/>
    <cellStyle name="_Final_Book_010301_New Form10_2" xfId="128"/>
    <cellStyle name="_Final_Book_010301_Nsi" xfId="129"/>
    <cellStyle name="_Final_Book_010301_Nsi_1" xfId="130"/>
    <cellStyle name="_Final_Book_010301_Nsi_139" xfId="131"/>
    <cellStyle name="_Final_Book_010301_Nsi_140" xfId="132"/>
    <cellStyle name="_Final_Book_010301_Nsi_140(Зах)" xfId="133"/>
    <cellStyle name="_Final_Book_010301_Nsi_140_mod" xfId="134"/>
    <cellStyle name="_Final_Book_010301_Summary" xfId="135"/>
    <cellStyle name="_Final_Book_010301_Tax_form_1кв_3" xfId="136"/>
    <cellStyle name="_Final_Book_010301_БКЭ" xfId="137"/>
    <cellStyle name="_FinancialModel_IEC_22_11_05_corrected" xfId="138"/>
    <cellStyle name="_FS Notes" xfId="139"/>
    <cellStyle name="_FS Notes_trial Balance 20061" xfId="140"/>
    <cellStyle name="_FSL_Architects.ge_GRDC_31.12.2006" xfId="141"/>
    <cellStyle name="_FSL_Architects.ge_GRDC_31.12.2006_GRDC_Cons_2006_MI_3" xfId="142"/>
    <cellStyle name="_FSL_Architects.ge_GRDC_31.12.2006_trial Balance 20061" xfId="143"/>
    <cellStyle name="_FSL_BatumiBusinessPlaza_31.12.2006" xfId="144"/>
    <cellStyle name="_FSL_BatumiBusinessPlaza_31.12.2006_trial Balance 20061" xfId="145"/>
    <cellStyle name="_FSL_Duzan_GRDC_2007" xfId="146"/>
    <cellStyle name="_FSL_Duzani_31.12.2006" xfId="147"/>
    <cellStyle name="_FSL_Duzani_31.12.2006_trial Balance 20061" xfId="148"/>
    <cellStyle name="_FSL_GRDCrepoffice_GRDC_31.12.2006" xfId="149"/>
    <cellStyle name="_FSL_Prima_12.31.2006" xfId="150"/>
    <cellStyle name="_FSL_Prima_12.31.2006_trial Balance 20061" xfId="151"/>
    <cellStyle name="_FSL_Prima_GRDC_2007" xfId="152"/>
    <cellStyle name="_FSL_Tbilisi Property_2006" xfId="153"/>
    <cellStyle name="_FSL_Tbilisi Property_2006_trial Balance 20061" xfId="154"/>
    <cellStyle name="_FSL_Tbilisi Property_GRDC_2007" xfId="155"/>
    <cellStyle name="_FSL_TbilisiBusinessPlaza_2006_1" xfId="156"/>
    <cellStyle name="_GLC_financials" xfId="157"/>
    <cellStyle name="_Heading" xfId="158"/>
    <cellStyle name="_Hidden" xfId="159"/>
    <cellStyle name="_Input" xfId="160"/>
    <cellStyle name="_Input TD" xfId="161"/>
    <cellStyle name="_Input_DPM 87 (начало)_20.06.2011_20.30" xfId="162"/>
    <cellStyle name="_Input_TheModel 06.04.2011" xfId="163"/>
    <cellStyle name="_Input_TheModel 08.04.2011" xfId="164"/>
    <cellStyle name="_Input_TheModel 15.04.2011_генерация" xfId="165"/>
    <cellStyle name="_Input_TheModel_30_2012" xfId="166"/>
    <cellStyle name="_Input_Valuation_RKSEnergo 03.03.2011" xfId="167"/>
    <cellStyle name="_Input_Valuation_RKSEnergo 03.03.2011_DPM 87 (начало)_20.06.2011_20.30" xfId="168"/>
    <cellStyle name="_Input_Valuation_RKSEnergo 03.03.2011_TheModel 15.04.2011_генерация" xfId="169"/>
    <cellStyle name="_Input_Valuation_RKSEnergo 03.03.2011_TheModel_30_2012" xfId="170"/>
    <cellStyle name="_Input_Valuation_RKSEnergo 03.03.2011_шаблон для заполнения" xfId="171"/>
    <cellStyle name="_Input_Valuation_RKSEnergo 03.03.2011_шаблон для заполнения4" xfId="172"/>
    <cellStyle name="_Input_Valuation_RKSEnergo 03.03.2011_шаблон для теста на обесценение" xfId="173"/>
    <cellStyle name="_Input_шаблон для заполнения" xfId="174"/>
    <cellStyle name="_Input_шаблон для заполнения4" xfId="175"/>
    <cellStyle name="_Input_шаблон для теста на обесценение" xfId="176"/>
    <cellStyle name="_Krasnodonugol DCF model_v 0_September 3 2005" xfId="177"/>
    <cellStyle name="_Lomonosov Benchmark TEMv1.4" xfId="178"/>
    <cellStyle name="_Lomonosov Benchmark TEMv13.4" xfId="179"/>
    <cellStyle name="_MA - values" xfId="180"/>
    <cellStyle name="_Market" xfId="181"/>
    <cellStyle name="_Market Approach" xfId="182"/>
    <cellStyle name="_Market Approach 2" xfId="183"/>
    <cellStyle name="_Market Approach 3" xfId="184"/>
    <cellStyle name="_Market Approach_template" xfId="185"/>
    <cellStyle name="_MGOK model v.1.11 (old prices)" xfId="186"/>
    <cellStyle name="_MGRES_0505_final" xfId="187"/>
    <cellStyle name="_MIS_BSv9_30.09.05" xfId="188"/>
    <cellStyle name="_MIS_BSv9_30.09.05 2" xfId="189"/>
    <cellStyle name="_MIS_BSv9_30.09.05 3" xfId="190"/>
    <cellStyle name="_MIS_BSv9_30.09.05 4" xfId="191"/>
    <cellStyle name="_MIS_BSv9_30.09.05_~9660252" xfId="192"/>
    <cellStyle name="_MIS_BSv9_30.09.05_E-10" xfId="193"/>
    <cellStyle name="_MIS_BSv9_30.09.05_FSL_Prime Fitness_HY_2008" xfId="194"/>
    <cellStyle name="_MIS_BSv9_30.09.05_FSL_SBOI_07" xfId="195"/>
    <cellStyle name="_MIS_BSv9_30.09.05_FSL_SBOI_07_BOG" xfId="196"/>
    <cellStyle name="_MIS_BSv9_30.09.05_FSL_SBOI_08" xfId="197"/>
    <cellStyle name="_MIS_BSv9_30.09.05_GTC Report June 2008 IG KC 080616" xfId="198"/>
    <cellStyle name="_MIS_BSv9_30.09.05_LC Trial Balances 2008" xfId="199"/>
    <cellStyle name="_MIS_BSv9_30.09.05_LOC_Guarantees  IFRS adj  calc  T KH _27 12 08 (version 1)" xfId="200"/>
    <cellStyle name="_MIS_BSv9_30.09.05_Prime Fitness_IFRS FS  Disclosures_June 2008 reviewed" xfId="201"/>
    <cellStyle name="_MIS_BSv9_30.09.05_Trail Balance" xfId="202"/>
    <cellStyle name="_MIS_BSv9_31.12.05" xfId="203"/>
    <cellStyle name="_MIS_BSv9_31.12.05 2" xfId="204"/>
    <cellStyle name="_MIS_BSv9_31.12.05 3" xfId="205"/>
    <cellStyle name="_MIS_BSv9_31.12.05 4" xfId="206"/>
    <cellStyle name="_MIS_BSv9_31.12.05_~9660252" xfId="207"/>
    <cellStyle name="_MIS_BSv9_31.12.05_E-10" xfId="208"/>
    <cellStyle name="_MIS_BSv9_31.12.05_FSL_Prime Fitness_HY_2008" xfId="209"/>
    <cellStyle name="_MIS_BSv9_31.12.05_FSL_SBOI_07" xfId="210"/>
    <cellStyle name="_MIS_BSv9_31.12.05_FSL_SBOI_07_BOG" xfId="211"/>
    <cellStyle name="_MIS_BSv9_31.12.05_FSL_SBOI_08" xfId="212"/>
    <cellStyle name="_MIS_BSv9_31.12.05_GTC Report June 2008 IG KC 080616" xfId="213"/>
    <cellStyle name="_MIS_BSv9_31.12.05_LC Trial Balances 2008" xfId="214"/>
    <cellStyle name="_MIS_BSv9_31.12.05_LOC_Guarantees  IFRS adj  calc  T KH _27 12 08 (version 1)" xfId="215"/>
    <cellStyle name="_MIS_BSv9_31.12.05_Prime Fitness_IFRS FS  Disclosures_June 2008 reviewed" xfId="216"/>
    <cellStyle name="_MIS_BSv9_31.12.05_Trail Balance" xfId="217"/>
    <cellStyle name="_model_OPTOGAN 21 MR" xfId="218"/>
    <cellStyle name="_model_OPTOGAN 24 (FSO)" xfId="219"/>
    <cellStyle name="_MUSE Market Exhibits &amp; WACC" xfId="220"/>
    <cellStyle name="_New_Sofi" xfId="221"/>
    <cellStyle name="_New_Sofi_FFF" xfId="222"/>
    <cellStyle name="_New_Sofi_New Form10_2" xfId="223"/>
    <cellStyle name="_New_Sofi_Nsi" xfId="224"/>
    <cellStyle name="_New_Sofi_Nsi_1" xfId="225"/>
    <cellStyle name="_New_Sofi_Nsi_139" xfId="226"/>
    <cellStyle name="_New_Sofi_Nsi_140" xfId="227"/>
    <cellStyle name="_New_Sofi_Nsi_140(Зах)" xfId="228"/>
    <cellStyle name="_New_Sofi_Nsi_140_mod" xfId="229"/>
    <cellStyle name="_New_Sofi_Summary" xfId="230"/>
    <cellStyle name="_New_Sofi_Tax_form_1кв_3" xfId="231"/>
    <cellStyle name="_New_Sofi_БКЭ" xfId="232"/>
    <cellStyle name="_Nordic_БП 2007 год_adjusted_06.03.07" xfId="233"/>
    <cellStyle name="_Normal" xfId="234"/>
    <cellStyle name="_Nsi" xfId="235"/>
    <cellStyle name="_O_Lead_Park Place" xfId="236"/>
    <cellStyle name="_OMK valuation model draft" xfId="237"/>
    <cellStyle name="_P&amp;L &amp; Value" xfId="238"/>
    <cellStyle name="_pack_6mes_2006_Интер РАО" xfId="239"/>
    <cellStyle name="_PBC schedule" xfId="240"/>
    <cellStyle name="_PCSP (model)_10_SP" xfId="241"/>
    <cellStyle name="_PCSP (model)_24_final" xfId="242"/>
    <cellStyle name="_Percentage" xfId="243"/>
    <cellStyle name="_PercentageBold" xfId="244"/>
    <cellStyle name="_Plug" xfId="245"/>
    <cellStyle name="_Plug 2" xfId="246"/>
    <cellStyle name="_Plug 3" xfId="247"/>
    <cellStyle name="_Plug_06_CЗТЭЦ_ожид на 15.12" xfId="248"/>
    <cellStyle name="_Plug_07_КТЭЦ2" xfId="249"/>
    <cellStyle name="_Plug_07_Ожидаемые КТЭЦ-2 на 151210г для Акулова" xfId="250"/>
    <cellStyle name="_Plug_9 февраля Ожидаемые " xfId="251"/>
    <cellStyle name="_Plug_Анализ индикаторов на обесценение ИРРАО" xfId="252"/>
    <cellStyle name="_Plug_дом 9 февраля Ожидаемые " xfId="253"/>
    <cellStyle name="_Plug_Копия Бизнес - план на 2009 СЗ на 11 01 09" xfId="254"/>
    <cellStyle name="_Plug_Копия Бизнес - план на 2009 СЗ на 11 01 09_06_CЗТЭЦ_ожид на 15.12" xfId="255"/>
    <cellStyle name="_Plug_Копия Бизнес - план на 2009 СЗ на 11 01 09_07_КТЭЦ2" xfId="256"/>
    <cellStyle name="_Plug_Копия Бизнес - план на 2009 СЗ на 11 01 09_07_Ожидаемые КТЭЦ-2 на 151210г для Акулова" xfId="257"/>
    <cellStyle name="_Plug_Копия Бизнес - план на 2009 СЗ на 11 01 09_9 февраля Ожидаемые " xfId="258"/>
    <cellStyle name="_Plug_Копия Бизнес - план на 2009 СЗ на 11 01 09_дом 9 февраля Ожидаемые " xfId="259"/>
    <cellStyle name="_Plug_Копия Бизнес - план на 2009 СЗ на 11 01 09_Коэф.гот.формат ИНТЕР РАО)ПЭО 10.09.10" xfId="260"/>
    <cellStyle name="_Plug_Копия Бизнес - план на 2009 СЗ на 11 01 09_КТЭЦ-2_ Ожид 2011-исходник" xfId="261"/>
    <cellStyle name="_Plug_Копия Бизнес - план на 2009 СЗ на 11 01 09_ожидаемое CЗ-ТЭЦ 09-06-2010" xfId="262"/>
    <cellStyle name="_Plug_Копия Бизнес - план на 2009 СЗ на 11 01 09_СТЭС_2011-исходник" xfId="263"/>
    <cellStyle name="_Plug_Коэф.гот.формат ИНТЕР РАО)ПЭО 10.09.10" xfId="264"/>
    <cellStyle name="_Plug_КТЭЦ-2_ Ожид 2011-исходник" xfId="265"/>
    <cellStyle name="_Plug_ожидаемое CЗ-ТЭЦ 09-06-2010" xfId="266"/>
    <cellStyle name="_Plug_Ожидаемые ИПГУ" xfId="267"/>
    <cellStyle name="_Plug_Ожидаемые ИПГУ_06_CЗТЭЦ_ожид на 15.12" xfId="268"/>
    <cellStyle name="_Plug_Ожидаемые ИПГУ_07_КТЭЦ2" xfId="269"/>
    <cellStyle name="_Plug_Ожидаемые ИПГУ_07_Ожидаемые КТЭЦ-2 на 151210г для Акулова" xfId="270"/>
    <cellStyle name="_Plug_Ожидаемые ИПГУ_9 февраля Ожидаемые " xfId="271"/>
    <cellStyle name="_Plug_Ожидаемые ИПГУ_дом 9 февраля Ожидаемые " xfId="272"/>
    <cellStyle name="_Plug_Ожидаемые ИПГУ_Коэф.гот.формат ИНТЕР РАО)ПЭО 10.09.10" xfId="273"/>
    <cellStyle name="_Plug_Ожидаемые ИПГУ_КТЭЦ-2_ Ожид 2011-исходник" xfId="274"/>
    <cellStyle name="_Plug_Ожидаемые ИПГУ_ожидаемое CЗ-ТЭЦ 09-06-2010" xfId="275"/>
    <cellStyle name="_Plug_Ожидаемые ИПГУ_СТЭС_2011-исходник" xfId="276"/>
    <cellStyle name="_Plug_отчет БП 1кв.09 ИвПГУ" xfId="277"/>
    <cellStyle name="_Plug_отчет БП 1кв.09 ИвПГУ_06_CЗТЭЦ_ожид на 15.12" xfId="278"/>
    <cellStyle name="_Plug_отчет БП 1кв.09 ИвПГУ_07_КТЭЦ2" xfId="279"/>
    <cellStyle name="_Plug_отчет БП 1кв.09 ИвПГУ_07_Ожидаемые КТЭЦ-2 на 151210г для Акулова" xfId="280"/>
    <cellStyle name="_Plug_отчет БП 1кв.09 ИвПГУ_9 февраля Ожидаемые " xfId="281"/>
    <cellStyle name="_Plug_отчет БП 1кв.09 ИвПГУ_дом 9 февраля Ожидаемые " xfId="282"/>
    <cellStyle name="_Plug_отчет БП 1кв.09 ИвПГУ_Коэф.гот.формат ИНТЕР РАО)ПЭО 10.09.10" xfId="283"/>
    <cellStyle name="_Plug_отчет БП 1кв.09 ИвПГУ_КТЭЦ-2_ Ожид 2011-исходник" xfId="284"/>
    <cellStyle name="_Plug_отчет БП 1кв.09 ИвПГУ_ожидаемое CЗ-ТЭЦ 09-06-2010" xfId="285"/>
    <cellStyle name="_Plug_отчет БП 1кв.09 ИвПГУ_СТЭС_2011-исходник" xfId="286"/>
    <cellStyle name="_Plug_рынок" xfId="287"/>
    <cellStyle name="_Plug_СТЭС_2011-исходник" xfId="288"/>
    <cellStyle name="_Project Samovar Databook 1506 v3" xfId="289"/>
    <cellStyle name="_PTCM BP RG" xfId="290"/>
    <cellStyle name="_Reconciliation_Anton_Ерлан" xfId="291"/>
    <cellStyle name="_Revaluation of Finished goods" xfId="292"/>
    <cellStyle name="_Revaluation of the BS" xfId="293"/>
    <cellStyle name="_RO Model v.3.9 - Final Draft (02.11.06)" xfId="294"/>
    <cellStyle name="_RP-2000" xfId="295"/>
    <cellStyle name="_SeriesAttributes" xfId="296"/>
    <cellStyle name="_SeriesData" xfId="297"/>
    <cellStyle name="_SeriesDataForecast" xfId="298"/>
    <cellStyle name="_SeriesDataForecastNA" xfId="299"/>
    <cellStyle name="_SeriesDataNA" xfId="300"/>
    <cellStyle name="_SeriesDataStatistics" xfId="301"/>
    <cellStyle name="_SeriesDataStatisticsForecast" xfId="302"/>
    <cellStyle name="_Sheet1" xfId="303"/>
    <cellStyle name="_SIBUR MU DCF 080214 v17 OG" xfId="304"/>
    <cellStyle name="_SKY_azot_template_v1" xfId="305"/>
    <cellStyle name="_SKY_azot_template_v2" xfId="306"/>
    <cellStyle name="_steel EM update 2_AK" xfId="307"/>
    <cellStyle name="_SUEK PBC (15)" xfId="308"/>
    <cellStyle name="_SZNP - Eqiuty Roll" xfId="309"/>
    <cellStyle name="_SZNP - rasshifrovki-002000-333" xfId="310"/>
    <cellStyle name="_SZNP - TRS-092000" xfId="311"/>
    <cellStyle name="_TableHead" xfId="312"/>
    <cellStyle name="_TableHead_Анализ индикаторов на обесценение ИРРАО" xfId="313"/>
    <cellStyle name="_TableRowHead" xfId="314"/>
    <cellStyle name="_TableSuperHead" xfId="315"/>
    <cellStyle name="_Telasi_03_05_v5" xfId="316"/>
    <cellStyle name="_trial Balance 20061" xfId="317"/>
    <cellStyle name="_Valuation RKS 18.02.2011" xfId="318"/>
    <cellStyle name="_WACC &amp; Market Approach" xfId="319"/>
    <cellStyle name="_WACC &amp; Market_diamonds 30.06.2008" xfId="320"/>
    <cellStyle name="_WACC &amp; Market_diamonds 31.12.2003" xfId="321"/>
    <cellStyle name="_WACC &amp; Market_MR" xfId="322"/>
    <cellStyle name="_WACC ATZ 1" xfId="323"/>
    <cellStyle name="_WACC SMK 2007 v.3.0" xfId="324"/>
    <cellStyle name="_Анализ использования ремонтов в 2005 (ауд)" xfId="325"/>
    <cellStyle name="_Анализ КТП_регионы" xfId="326"/>
    <cellStyle name="_ахр_2006_проверка20060904" xfId="327"/>
    <cellStyle name="_БДР _ 2006_28 ноя" xfId="328"/>
    <cellStyle name="_бдр_бюджетный пакет_r_2" xfId="329"/>
    <cellStyle name="_Бизнес-план ЗАО ИНТЕР РАО ЕЭС на 2007 год" xfId="330"/>
    <cellStyle name="_Бизнес-план МГРЭС 2007" xfId="331"/>
    <cellStyle name="_БП 2007" xfId="332"/>
    <cellStyle name="_Бюджет 2006_группа_защита_3" xfId="333"/>
    <cellStyle name="_Бюджет 2006_утвержденный" xfId="334"/>
    <cellStyle name="_Бюджет КВ_2006_13 03 2006" xfId="335"/>
    <cellStyle name="_Бюджет КВ_2006_17 03 2006_2 (2)" xfId="336"/>
    <cellStyle name="_Бюджет КВ_2006_II кв" xfId="337"/>
    <cellStyle name="_Бюджет КВ_пл 3 кв_13 07 06" xfId="338"/>
    <cellStyle name="_Бюджет на 2006 г 21 11 05 (2)" xfId="339"/>
    <cellStyle name="_Бюджет на 2006 г.14.11.05" xfId="340"/>
    <cellStyle name="_ГТ и ТТ на 2009-2010 гг. для Пивня Г.Ф." xfId="341"/>
    <cellStyle name="_Данные" xfId="342"/>
    <cellStyle name="_Динамика 1-2006 230506" xfId="343"/>
    <cellStyle name="_для Любы" xfId="344"/>
    <cellStyle name="_займы и кредиты ДЗО_01 04 07_ts" xfId="345"/>
    <cellStyle name="_Займы_01.01.2007" xfId="346"/>
    <cellStyle name="_Затратный СШГЭС  14 11 2004" xfId="347"/>
    <cellStyle name="_Индексация исторических затрат" xfId="348"/>
    <cellStyle name="_Капвложения 2006" xfId="349"/>
    <cellStyle name="_Книга1" xfId="350"/>
    <cellStyle name="_Книга2 (22)" xfId="351"/>
    <cellStyle name="_Книга3" xfId="352"/>
    <cellStyle name="_Книга3_New Form10_2" xfId="353"/>
    <cellStyle name="_Книга3_Nsi" xfId="354"/>
    <cellStyle name="_Книга3_Nsi_1" xfId="355"/>
    <cellStyle name="_Книга3_Nsi_139" xfId="356"/>
    <cellStyle name="_Книга3_Nsi_140" xfId="357"/>
    <cellStyle name="_Книга3_Nsi_140(Зах)" xfId="358"/>
    <cellStyle name="_Книга3_Nsi_140_mod" xfId="359"/>
    <cellStyle name="_Книга3_Summary" xfId="360"/>
    <cellStyle name="_Книга3_Tax_form_1кв_3" xfId="361"/>
    <cellStyle name="_Книга3_БКЭ" xfId="362"/>
    <cellStyle name="_Книга7" xfId="363"/>
    <cellStyle name="_Книга7_New Form10_2" xfId="364"/>
    <cellStyle name="_Книга7_Nsi" xfId="365"/>
    <cellStyle name="_Книга7_Nsi_1" xfId="366"/>
    <cellStyle name="_Книга7_Nsi_139" xfId="367"/>
    <cellStyle name="_Книга7_Nsi_140" xfId="368"/>
    <cellStyle name="_Книга7_Nsi_140(Зах)" xfId="369"/>
    <cellStyle name="_Книга7_Nsi_140_mod" xfId="370"/>
    <cellStyle name="_Книга7_Summary" xfId="371"/>
    <cellStyle name="_Книга7_Tax_form_1кв_3" xfId="372"/>
    <cellStyle name="_Книга7_БКЭ" xfId="373"/>
    <cellStyle name="_Копия Дополнение к PBC+ (version 1)" xfId="374"/>
    <cellStyle name="_Копия Информация по полученным кредитам (займам)" xfId="375"/>
    <cellStyle name="_Копия Теласи" xfId="376"/>
    <cellStyle name="_Копия Теласи 2" xfId="377"/>
    <cellStyle name="_Копия Теласи 3" xfId="378"/>
    <cellStyle name="_Копия Теласи_Анализ индикаторов на обесценение ИРРАО" xfId="379"/>
    <cellStyle name="_Копия Теласи_Копия Бизнес - план на 2009 СЗ на 11 01 09" xfId="380"/>
    <cellStyle name="_Копия Теласи_Копия Бизнес - план на 2009 СЗ на 11 01 09_ожидаемое CЗ-ТЭЦ на 14 04 2010 " xfId="381"/>
    <cellStyle name="_Копия Теласи_Копия Бизнес - план на 2009 СЗ на 11 01 09_СЗТЭЦ 1полуг09 24.07.09" xfId="382"/>
    <cellStyle name="_Копия Теласи_Копия Бизнес - план на 2009 СЗ на 11 01 09_СЗТЭЦ 1полуг09 24.07.09_06_CЗТЭЦ_ожид на 15.12" xfId="383"/>
    <cellStyle name="_Копия Теласи_Копия Бизнес - план на 2009 СЗ на 11 01 09_СЗТЭЦ 1полуг09 24.07.09_07_КТЭЦ2" xfId="384"/>
    <cellStyle name="_Копия Теласи_Копия Бизнес - план на 2009 СЗ на 11 01 09_СЗТЭЦ 1полуг09 24.07.09_07_Ожидаемые КТЭЦ-2 на 151210г для Акулова" xfId="385"/>
    <cellStyle name="_Копия Теласи_Копия Бизнес - план на 2009 СЗ на 11 01 09_СЗТЭЦ 1полуг09 24.07.09_9 февраля Ожидаемые " xfId="386"/>
    <cellStyle name="_Копия Теласи_Копия Бизнес - план на 2009 СЗ на 11 01 09_СЗТЭЦ 1полуг09 24.07.09_дом 9 февраля Ожидаемые " xfId="387"/>
    <cellStyle name="_Копия Теласи_Копия Бизнес - план на 2009 СЗ на 11 01 09_СЗТЭЦ 1полуг09 24.07.09_Коэф.гот.формат ИНТЕР РАО)ПЭО 10.09.10" xfId="388"/>
    <cellStyle name="_Копия Теласи_Копия Бизнес - план на 2009 СЗ на 11 01 09_СЗТЭЦ 1полуг09 24.07.09_КТЭЦ-2_ Ожид 2011-исходник" xfId="389"/>
    <cellStyle name="_Копия Теласи_Копия Бизнес - план на 2009 СЗ на 11 01 09_СЗТЭЦ 1полуг09 24.07.09_ожидаемое CЗ-ТЭЦ 09-06-2010" xfId="390"/>
    <cellStyle name="_Копия Теласи_Копия Бизнес - план на 2009 СЗ на 11 01 09_СЗТЭЦ 1полуг09 24.07.09_СТЭС_2011-исходник" xfId="391"/>
    <cellStyle name="_Копия Теласи_Копия Бизнес - план на 2009 СЗ на 11 01 09_ФОРМАТ_БП" xfId="392"/>
    <cellStyle name="_Копия Теласи_Копия Бизнес - план на 2009 СЗ на 11 01 09_ФОРМАТ_БП_07_КТЭЦ2" xfId="393"/>
    <cellStyle name="_Копия Теласи_Копия СЗТЭЦ_БП_2009_1 квартал (Акулов - добавлен лист ОТС)" xfId="394"/>
    <cellStyle name="_Копия Теласи_Копия СЗТЭЦ_БП_2009_1 квартал (Акулов - добавлен лист ОТС)_06_CЗТЭЦ_ожид на 15.12" xfId="395"/>
    <cellStyle name="_Копия Теласи_Копия СЗТЭЦ_БП_2009_1 квартал (Акулов - добавлен лист ОТС)_07_КТЭЦ2" xfId="396"/>
    <cellStyle name="_Копия Теласи_Копия СЗТЭЦ_БП_2009_1 квартал (Акулов - добавлен лист ОТС)_07_Ожидаемые КТЭЦ-2 на 151210г для Акулова" xfId="397"/>
    <cellStyle name="_Копия Теласи_Копия СЗТЭЦ_БП_2009_1 квартал (Акулов - добавлен лист ОТС)_9 февраля Ожидаемые " xfId="398"/>
    <cellStyle name="_Копия Теласи_Копия СЗТЭЦ_БП_2009_1 квартал (Акулов - добавлен лист ОТС)_дом 9 февраля Ожидаемые " xfId="399"/>
    <cellStyle name="_Копия Теласи_Копия СЗТЭЦ_БП_2009_1 квартал (Акулов - добавлен лист ОТС)_Коэф.гот.формат ИНТЕР РАО)ПЭО 10.09.10" xfId="400"/>
    <cellStyle name="_Копия Теласи_Копия СЗТЭЦ_БП_2009_1 квартал (Акулов - добавлен лист ОТС)_КТЭЦ-2_ Ожид 2011-исходник" xfId="401"/>
    <cellStyle name="_Копия Теласи_Копия СЗТЭЦ_БП_2009_1 квартал (Акулов - добавлен лист ОТС)_ожидаемое CЗ-ТЭЦ 09-06-2010" xfId="402"/>
    <cellStyle name="_Копия Теласи_Копия СЗТЭЦ_БП_2009_1 квартал (Акулов - добавлен лист ОТС)_СТЭС_2011-исходник" xfId="403"/>
    <cellStyle name="_Копия Теласи_ожидаемое CЗ-ТЭЦ на 14 04 2010 " xfId="404"/>
    <cellStyle name="_Копия Теласи_отчет БП 1кв.09 ИвПГУ" xfId="405"/>
    <cellStyle name="_Копия Теласи_отчет БП 1кв.09 ИвПГУ_06_CЗТЭЦ_ожид на 15.12" xfId="406"/>
    <cellStyle name="_Копия Теласи_отчет БП 1кв.09 ИвПГУ_07_КТЭЦ2" xfId="407"/>
    <cellStyle name="_Копия Теласи_отчет БП 1кв.09 ИвПГУ_07_Ожидаемые КТЭЦ-2 на 151210г для Акулова" xfId="408"/>
    <cellStyle name="_Копия Теласи_отчет БП 1кв.09 ИвПГУ_9 февраля Ожидаемые " xfId="409"/>
    <cellStyle name="_Копия Теласи_отчет БП 1кв.09 ИвПГУ_дом 9 февраля Ожидаемые " xfId="410"/>
    <cellStyle name="_Копия Теласи_отчет БП 1кв.09 ИвПГУ_Коэф.гот.формат ИНТЕР РАО)ПЭО 10.09.10" xfId="411"/>
    <cellStyle name="_Копия Теласи_отчет БП 1кв.09 ИвПГУ_КТЭЦ-2_ Ожид 2011-исходник" xfId="412"/>
    <cellStyle name="_Копия Теласи_отчет БП 1кв.09 ИвПГУ_ожидаемое CЗ-ТЭЦ 09-06-2010" xfId="413"/>
    <cellStyle name="_Копия Теласи_отчет БП 1кв.09 ИвПГУ_СТЭС_2011-исходник" xfId="414"/>
    <cellStyle name="_Копия Теласи_рынок" xfId="415"/>
    <cellStyle name="_Копия Теласи_рынок_06_CЗТЭЦ_ожид на 15.12" xfId="416"/>
    <cellStyle name="_Копия Теласи_рынок_07_КТЭЦ2" xfId="417"/>
    <cellStyle name="_Копия Теласи_рынок_07_Ожидаемые КТЭЦ-2 на 151210г для Акулова" xfId="418"/>
    <cellStyle name="_Копия Теласи_рынок_9 февраля Ожидаемые " xfId="419"/>
    <cellStyle name="_Копия Теласи_рынок_дом 9 февраля Ожидаемые " xfId="420"/>
    <cellStyle name="_Копия Теласи_рынок_Коэф.гот.формат ИНТЕР РАО)ПЭО 10.09.10" xfId="421"/>
    <cellStyle name="_Копия Теласи_рынок_КТЭЦ-2_ Ожид 2011-исходник" xfId="422"/>
    <cellStyle name="_Копия Теласи_рынок_СТЭС_2011-исходник" xfId="423"/>
    <cellStyle name="_Копия Теласи_СЗТЭЦ 1полуг09 24.07.09" xfId="424"/>
    <cellStyle name="_Копия Теласи_СЗТЭЦ 1полуг09 24.07.09_06_CЗТЭЦ_ожид на 15.12" xfId="425"/>
    <cellStyle name="_Копия Теласи_СЗТЭЦ 1полуг09 24.07.09_07_КТЭЦ2" xfId="426"/>
    <cellStyle name="_Копия Теласи_СЗТЭЦ 1полуг09 24.07.09_07_Ожидаемые КТЭЦ-2 на 151210г для Акулова" xfId="427"/>
    <cellStyle name="_Копия Теласи_СЗТЭЦ 1полуг09 24.07.09_9 февраля Ожидаемые " xfId="428"/>
    <cellStyle name="_Копия Теласи_СЗТЭЦ 1полуг09 24.07.09_дом 9 февраля Ожидаемые " xfId="429"/>
    <cellStyle name="_Копия Теласи_СЗТЭЦ 1полуг09 24.07.09_Коэф.гот.формат ИНТЕР РАО)ПЭО 10.09.10" xfId="430"/>
    <cellStyle name="_Копия Теласи_СЗТЭЦ 1полуг09 24.07.09_КТЭЦ-2_ Ожид 2011-исходник" xfId="431"/>
    <cellStyle name="_Копия Теласи_СЗТЭЦ 1полуг09 24.07.09_ожидаемое CЗ-ТЭЦ 09-06-2010" xfId="432"/>
    <cellStyle name="_Копия Теласи_СЗТЭЦ 1полуг09 24.07.09_СТЭС_2011-исходник" xfId="433"/>
    <cellStyle name="_Копия Теласи_ФОРМАТ_БП" xfId="434"/>
    <cellStyle name="_Копия Теласи_ФОРМАТ_БП_07_КТЭЦ2" xfId="435"/>
    <cellStyle name="_Кредиты_01.01.2007" xfId="436"/>
    <cellStyle name="_КФЭМ_Консолидир" xfId="437"/>
    <cellStyle name="_Модель Экибастуз на 2004-2020 (09 04 07)" xfId="438"/>
    <cellStyle name="_Мтквари_03_03_v2" xfId="439"/>
    <cellStyle name="_Мтквари_08_06_v2" xfId="440"/>
    <cellStyle name="_МЭК Таблицы к БП на 2007 год помесячно (14.03.07)" xfId="441"/>
    <cellStyle name="_Отчеты БДДС_" xfId="442"/>
    <cellStyle name="_Первоочередное оборудование 2006 утверждено" xfId="443"/>
    <cellStyle name="_Перечень форм" xfId="444"/>
    <cellStyle name="_Плановая протяженность Января" xfId="445"/>
    <cellStyle name="_Производств-е показатели ЮНГ на 2005 на 49700 для согласования" xfId="446"/>
    <cellStyle name="_Рабочие таблицы для отчетности по МСФО" xfId="447"/>
    <cellStyle name="_Расчет ВВ подстанций" xfId="448"/>
    <cellStyle name="_Расчет ВЛ таб.формата 12 рыба" xfId="449"/>
    <cellStyle name="_Расш. доп. инф. (на 31.12.2005г.)" xfId="450"/>
    <cellStyle name="_Расшифровка забаланс статей (на 30.06.2005г.)" xfId="451"/>
    <cellStyle name="_Расшифровка забаланса (на 31.12.2005г.)" xfId="452"/>
    <cellStyle name="_Расшифровка ОПУ-форма 2 (за год 2005г.)" xfId="453"/>
    <cellStyle name="_Расшифровка статей баланса (на 30.06.2005г.)" xfId="454"/>
    <cellStyle name="_расшифровка ф. 2" xfId="455"/>
    <cellStyle name="_Сб-macro 2020" xfId="456"/>
    <cellStyle name="_Свод бюджетов за 5 м-цев" xfId="457"/>
    <cellStyle name="_Свод вариант с расц ДМТС_07 03" xfId="458"/>
    <cellStyle name="_Свод инвестиций_13.01" xfId="459"/>
    <cellStyle name="_Свод форматов_БДДС" xfId="460"/>
    <cellStyle name="_СВОД Формы ФЗБП-1 и ФЗБП-2 на 2007 год" xfId="461"/>
    <cellStyle name="_СеверАлмаз,2этап-экономика(для выпуска)" xfId="462"/>
    <cellStyle name="_Сергееву_тех х-ки_18.11" xfId="463"/>
    <cellStyle name="_справочник и форма ДДС 24.08.09" xfId="464"/>
    <cellStyle name="_табл 3.1., 3.2. (увеличен.угла на 2 гр - печать) 08.08.08" xfId="465"/>
    <cellStyle name="_Таблица соответствия ЕПС и ТВ 060610" xfId="466"/>
    <cellStyle name="_Таблица соответствия ЕПС и ТВ МСФО PL" xfId="467"/>
    <cellStyle name="_Таблицы_ПХД2008" xfId="468"/>
    <cellStyle name="_ТАБЛИЦЫ_РАССЫЛКА_4" xfId="469"/>
    <cellStyle name="_Узлы учета_10.08" xfId="470"/>
    <cellStyle name="_Форма 2 - предложенная аудиторами" xfId="471"/>
    <cellStyle name="_Форма исх." xfId="472"/>
    <cellStyle name="_Формат БДДС_061020_sent" xfId="473"/>
    <cellStyle name="_формат ГКПЗ" xfId="474"/>
    <cellStyle name="_Экономика" xfId="475"/>
    <cellStyle name="’К‰Э [0.00]" xfId="476"/>
    <cellStyle name="’К‰Э [0.00] 2" xfId="477"/>
    <cellStyle name="’К‰Э [0.00] 3" xfId="478"/>
    <cellStyle name="”ќђќ‘ћ‚›‰" xfId="479"/>
    <cellStyle name="”љ‘ђћ‚ђќќ›‰" xfId="480"/>
    <cellStyle name="„…ќ…†ќ›‰" xfId="481"/>
    <cellStyle name="+" xfId="482"/>
    <cellStyle name="=C:\WINNT\SYSTEM32\COMMAND.COM" xfId="483"/>
    <cellStyle name="=C:\WINNT35\SYSTEM32\COMMAND.COM" xfId="484"/>
    <cellStyle name="=C:\WINNT35\SYSTEM32\COMMAND.COM 2" xfId="485"/>
    <cellStyle name="=C:\WINNT35\SYSTEM32\COMMAND.COM 3" xfId="486"/>
    <cellStyle name="=C:\WINNT35\SYSTEM32\COMMAND.COM 4" xfId="487"/>
    <cellStyle name="=C:\WINNT35\SYSTEM32\COMMAND.COM_TheModel_30_2012" xfId="488"/>
    <cellStyle name="=D:\WINNT\SYSTEM32\COMMAND.COM" xfId="489"/>
    <cellStyle name="¬µrka" xfId="490"/>
    <cellStyle name="‡ђѓћ‹ћ‚ћљ1" xfId="491"/>
    <cellStyle name="‡ђѓћ‹ћ‚ћљ2" xfId="492"/>
    <cellStyle name="’ћѓћ‚›‰" xfId="493"/>
    <cellStyle name="0" xfId="494"/>
    <cellStyle name="0,00;0;" xfId="495"/>
    <cellStyle name="0,00;0; 2" xfId="496"/>
    <cellStyle name="0,00;0;_Анализ индикаторов на обесценение ИРРАО" xfId="497"/>
    <cellStyle name="1" xfId="498"/>
    <cellStyle name="1_Nadpis" xfId="499"/>
    <cellStyle name="1Normal" xfId="500"/>
    <cellStyle name="20% - Accent1" xfId="501"/>
    <cellStyle name="20% - Accent1 2" xfId="502"/>
    <cellStyle name="20% - Accent1 3" xfId="503"/>
    <cellStyle name="20% - Accent1_Полная модель Абхазия 31032011_bv" xfId="504"/>
    <cellStyle name="20% - Accent2" xfId="505"/>
    <cellStyle name="20% - Accent2 2" xfId="506"/>
    <cellStyle name="20% - Accent2 3" xfId="507"/>
    <cellStyle name="20% - Accent2_Полная модель Абхазия 31032011_bv" xfId="508"/>
    <cellStyle name="20% - Accent3" xfId="509"/>
    <cellStyle name="20% - Accent3 2" xfId="510"/>
    <cellStyle name="20% - Accent3 3" xfId="511"/>
    <cellStyle name="20% - Accent3_Полная модель Абхазия 31032011_bv" xfId="512"/>
    <cellStyle name="20% - Accent4" xfId="513"/>
    <cellStyle name="20% - Accent4 2" xfId="514"/>
    <cellStyle name="20% - Accent4 3" xfId="515"/>
    <cellStyle name="20% - Accent4_Полная модель Абхазия 31032011_bv" xfId="516"/>
    <cellStyle name="20% - Accent5" xfId="517"/>
    <cellStyle name="20% - Accent5 2" xfId="518"/>
    <cellStyle name="20% - Accent5 3" xfId="519"/>
    <cellStyle name="20% - Accent5_Полная модель Абхазия 31032011_bv" xfId="520"/>
    <cellStyle name="20% - Accent6" xfId="521"/>
    <cellStyle name="20% - Accent6 2" xfId="522"/>
    <cellStyle name="20% - Accent6 3" xfId="523"/>
    <cellStyle name="20% - Accent6_Полная модель Абхазия 31032011_bv" xfId="524"/>
    <cellStyle name="20% - Акцент1 2" xfId="525"/>
    <cellStyle name="20% - Акцент1 3" xfId="526"/>
    <cellStyle name="20% - Акцент2 2" xfId="527"/>
    <cellStyle name="20% - Акцент2 3" xfId="528"/>
    <cellStyle name="20% - Акцент3 2" xfId="529"/>
    <cellStyle name="20% - Акцент3 3" xfId="530"/>
    <cellStyle name="20% - Акцент4 2" xfId="531"/>
    <cellStyle name="20% - Акцент4 3" xfId="532"/>
    <cellStyle name="20% - Акцент5 2" xfId="533"/>
    <cellStyle name="20% - Акцент5 3" xfId="534"/>
    <cellStyle name="20% - Акцент6 2" xfId="535"/>
    <cellStyle name="20% - Акцент6 3" xfId="536"/>
    <cellStyle name="3" xfId="537"/>
    <cellStyle name="40% - Accent1" xfId="538"/>
    <cellStyle name="40% - Accent1 2" xfId="539"/>
    <cellStyle name="40% - Accent1 3" xfId="540"/>
    <cellStyle name="40% - Accent1_Полная модель Абхазия 31032011_bv" xfId="541"/>
    <cellStyle name="40% - Accent2" xfId="542"/>
    <cellStyle name="40% - Accent2 2" xfId="543"/>
    <cellStyle name="40% - Accent2 3" xfId="544"/>
    <cellStyle name="40% - Accent2_Полная модель Абхазия 31032011_bv" xfId="545"/>
    <cellStyle name="40% - Accent3" xfId="546"/>
    <cellStyle name="40% - Accent3 2" xfId="547"/>
    <cellStyle name="40% - Accent3 3" xfId="548"/>
    <cellStyle name="40% - Accent3_Полная модель Абхазия 31032011_bv" xfId="549"/>
    <cellStyle name="40% - Accent4" xfId="550"/>
    <cellStyle name="40% - Accent4 2" xfId="551"/>
    <cellStyle name="40% - Accent4 3" xfId="552"/>
    <cellStyle name="40% - Accent4_Полная модель Абхазия 31032011_bv" xfId="553"/>
    <cellStyle name="40% - Accent5" xfId="554"/>
    <cellStyle name="40% - Accent5 2" xfId="555"/>
    <cellStyle name="40% - Accent5 3" xfId="556"/>
    <cellStyle name="40% - Accent5_Полная модель Абхазия 31032011_bv" xfId="557"/>
    <cellStyle name="40% - Accent6" xfId="558"/>
    <cellStyle name="40% - Accent6 2" xfId="559"/>
    <cellStyle name="40% - Accent6 3" xfId="560"/>
    <cellStyle name="40% - Accent6_Полная модель Абхазия 31032011_bv" xfId="561"/>
    <cellStyle name="40% - Акцент1 2" xfId="562"/>
    <cellStyle name="40% - Акцент1 3" xfId="563"/>
    <cellStyle name="40% - Акцент2 2" xfId="564"/>
    <cellStyle name="40% - Акцент2 3" xfId="565"/>
    <cellStyle name="40% - Акцент3 2" xfId="566"/>
    <cellStyle name="40% - Акцент3 3" xfId="567"/>
    <cellStyle name="40% - Акцент4 2" xfId="568"/>
    <cellStyle name="40% - Акцент4 3" xfId="569"/>
    <cellStyle name="40% - Акцент5 2" xfId="570"/>
    <cellStyle name="40% - Акцент5 3" xfId="571"/>
    <cellStyle name="40% - Акцент6 2" xfId="572"/>
    <cellStyle name="40% - Акцент6 3" xfId="573"/>
    <cellStyle name="50%" xfId="574"/>
    <cellStyle name="60% - Accent1" xfId="575"/>
    <cellStyle name="60% - Accent1 2" xfId="576"/>
    <cellStyle name="60% - Accent1 3" xfId="577"/>
    <cellStyle name="60% - Accent1_Полная модель Абхазия 31032011_bv" xfId="578"/>
    <cellStyle name="60% - Accent2" xfId="579"/>
    <cellStyle name="60% - Accent2 2" xfId="580"/>
    <cellStyle name="60% - Accent2 3" xfId="581"/>
    <cellStyle name="60% - Accent2_Полная модель Абхазия 31032011_bv" xfId="582"/>
    <cellStyle name="60% - Accent3" xfId="583"/>
    <cellStyle name="60% - Accent3 2" xfId="584"/>
    <cellStyle name="60% - Accent3 3" xfId="585"/>
    <cellStyle name="60% - Accent3_Полная модель Абхазия 31032011_bv" xfId="586"/>
    <cellStyle name="60% - Accent4" xfId="587"/>
    <cellStyle name="60% - Accent4 2" xfId="588"/>
    <cellStyle name="60% - Accent4 3" xfId="589"/>
    <cellStyle name="60% - Accent4_Полная модель Абхазия 31032011_bv" xfId="590"/>
    <cellStyle name="60% - Accent5" xfId="591"/>
    <cellStyle name="60% - Accent5 2" xfId="592"/>
    <cellStyle name="60% - Accent5 3" xfId="593"/>
    <cellStyle name="60% - Accent5_Полная модель Абхазия 31032011_bv" xfId="594"/>
    <cellStyle name="60% - Accent6" xfId="595"/>
    <cellStyle name="60% - Accent6 2" xfId="596"/>
    <cellStyle name="60% - Accent6 3" xfId="597"/>
    <cellStyle name="60% - Accent6_Полная модель Абхазия 31032011_bv" xfId="598"/>
    <cellStyle name="60% - Акцент1 2" xfId="599"/>
    <cellStyle name="60% - Акцент1 3" xfId="600"/>
    <cellStyle name="60% - Акцент2 2" xfId="601"/>
    <cellStyle name="60% - Акцент2 3" xfId="602"/>
    <cellStyle name="60% - Акцент3 2" xfId="603"/>
    <cellStyle name="60% - Акцент3 3" xfId="604"/>
    <cellStyle name="60% - Акцент4 2" xfId="605"/>
    <cellStyle name="60% - Акцент4 3" xfId="606"/>
    <cellStyle name="60% - Акцент5 2" xfId="607"/>
    <cellStyle name="60% - Акцент5 3" xfId="608"/>
    <cellStyle name="60% - Акцент6 2" xfId="609"/>
    <cellStyle name="60% - Акцент6 3" xfId="610"/>
    <cellStyle name="6Code" xfId="611"/>
    <cellStyle name="75%" xfId="612"/>
    <cellStyle name="8pt" xfId="613"/>
    <cellStyle name="Accent1" xfId="614"/>
    <cellStyle name="Accent1 - 20%" xfId="615"/>
    <cellStyle name="Accent1 - 40%" xfId="616"/>
    <cellStyle name="Accent1 - 60%" xfId="617"/>
    <cellStyle name="Accent1 2" xfId="618"/>
    <cellStyle name="Accent1 3" xfId="619"/>
    <cellStyle name="Accent1 4" xfId="620"/>
    <cellStyle name="Accent1 5" xfId="621"/>
    <cellStyle name="Accent1 6" xfId="622"/>
    <cellStyle name="Accent1_Полная модель Абхазия 31032011_bv" xfId="623"/>
    <cellStyle name="Accent2" xfId="624"/>
    <cellStyle name="Accent2 - 20%" xfId="625"/>
    <cellStyle name="Accent2 - 40%" xfId="626"/>
    <cellStyle name="Accent2 - 60%" xfId="627"/>
    <cellStyle name="Accent2 2" xfId="628"/>
    <cellStyle name="Accent2 3" xfId="629"/>
    <cellStyle name="Accent2 4" xfId="630"/>
    <cellStyle name="Accent2 5" xfId="631"/>
    <cellStyle name="Accent2 6" xfId="632"/>
    <cellStyle name="Accent2_Полная модель Абхазия 31032011_bv" xfId="633"/>
    <cellStyle name="Accent3" xfId="634"/>
    <cellStyle name="Accent3 - 20%" xfId="635"/>
    <cellStyle name="Accent3 - 40%" xfId="636"/>
    <cellStyle name="Accent3 - 60%" xfId="637"/>
    <cellStyle name="Accent3 2" xfId="638"/>
    <cellStyle name="Accent3 3" xfId="639"/>
    <cellStyle name="Accent3 4" xfId="640"/>
    <cellStyle name="Accent3 5" xfId="641"/>
    <cellStyle name="Accent3 6" xfId="642"/>
    <cellStyle name="Accent3_Полная модель Абхазия 31032011_bv" xfId="643"/>
    <cellStyle name="Accent4" xfId="644"/>
    <cellStyle name="Accent4 - 20%" xfId="645"/>
    <cellStyle name="Accent4 - 40%" xfId="646"/>
    <cellStyle name="Accent4 - 60%" xfId="647"/>
    <cellStyle name="Accent4 2" xfId="648"/>
    <cellStyle name="Accent4 3" xfId="649"/>
    <cellStyle name="Accent4 4" xfId="650"/>
    <cellStyle name="Accent4 5" xfId="651"/>
    <cellStyle name="Accent4 6" xfId="652"/>
    <cellStyle name="Accent4_Полная модель Абхазия 31032011_bv" xfId="653"/>
    <cellStyle name="Accent5" xfId="654"/>
    <cellStyle name="Accent5 - 20%" xfId="655"/>
    <cellStyle name="Accent5 - 40%" xfId="656"/>
    <cellStyle name="Accent5 - 60%" xfId="657"/>
    <cellStyle name="Accent5 2" xfId="658"/>
    <cellStyle name="Accent5 3" xfId="659"/>
    <cellStyle name="Accent5 4" xfId="660"/>
    <cellStyle name="Accent5 5" xfId="661"/>
    <cellStyle name="Accent5 6" xfId="662"/>
    <cellStyle name="Accent5_Полная модель Абхазия 31032011_bv" xfId="663"/>
    <cellStyle name="Accent6" xfId="664"/>
    <cellStyle name="Accent6 - 20%" xfId="665"/>
    <cellStyle name="Accent6 - 40%" xfId="666"/>
    <cellStyle name="Accent6 - 60%" xfId="667"/>
    <cellStyle name="Accent6 2" xfId="668"/>
    <cellStyle name="Accent6 3" xfId="669"/>
    <cellStyle name="Accent6 4" xfId="670"/>
    <cellStyle name="Accent6 5" xfId="671"/>
    <cellStyle name="Accent6 6" xfId="672"/>
    <cellStyle name="Accent6_Полная модель Абхазия 31032011_bv" xfId="673"/>
    <cellStyle name="Aeia?nnueea" xfId="674"/>
    <cellStyle name="AFE" xfId="675"/>
    <cellStyle name="al_laroux_7_laroux_1_²ðò²Ê´²ÜÎ" xfId="676"/>
    <cellStyle name="alternate" xfId="677"/>
    <cellStyle name="Array" xfId="678"/>
    <cellStyle name="ARtext" xfId="679"/>
    <cellStyle name="Bad" xfId="680"/>
    <cellStyle name="Bad 2" xfId="681"/>
    <cellStyle name="Bad 3" xfId="682"/>
    <cellStyle name="Bad_Полная модель Абхазия 31032011_bv" xfId="683"/>
    <cellStyle name="blp_column_header" xfId="684"/>
    <cellStyle name="Blue" xfId="685"/>
    <cellStyle name="Body" xfId="686"/>
    <cellStyle name="Calc Currency (0)" xfId="687"/>
    <cellStyle name="Calc Currency (0) 2" xfId="688"/>
    <cellStyle name="Calc Currency (0) 3" xfId="689"/>
    <cellStyle name="Calc Currency (0) 4" xfId="690"/>
    <cellStyle name="Calc Currency (0) 5" xfId="691"/>
    <cellStyle name="Calc Currency (0) 6" xfId="692"/>
    <cellStyle name="Calc Currency (0)_~9660252" xfId="693"/>
    <cellStyle name="Calc Currency (2)" xfId="694"/>
    <cellStyle name="Calc Percent (0)" xfId="695"/>
    <cellStyle name="Calc Percent (1)" xfId="696"/>
    <cellStyle name="Calc Percent (2)" xfId="697"/>
    <cellStyle name="Calc Units (0)" xfId="698"/>
    <cellStyle name="Calc Units (1)" xfId="699"/>
    <cellStyle name="Calc Units (2)" xfId="700"/>
    <cellStyle name="Calculation" xfId="701"/>
    <cellStyle name="Calculation 2" xfId="702"/>
    <cellStyle name="Calculation 3" xfId="703"/>
    <cellStyle name="Calculation_Полная модель Абхазия 31032011_bv" xfId="704"/>
    <cellStyle name="Call ins" xfId="705"/>
    <cellStyle name="Celkem" xfId="706"/>
    <cellStyle name="Centered Heading" xfId="707"/>
    <cellStyle name="ChartingText" xfId="708"/>
    <cellStyle name="Check" xfId="709"/>
    <cellStyle name="Check Cell" xfId="710"/>
    <cellStyle name="Check Cell 2" xfId="711"/>
    <cellStyle name="Check Cell 3" xfId="712"/>
    <cellStyle name="Check Cell_Полная модель Абхазия 31032011_bv" xfId="713"/>
    <cellStyle name="chiffres #" xfId="714"/>
    <cellStyle name="chiffres #,###" xfId="715"/>
    <cellStyle name="Chiffres #,##%" xfId="716"/>
    <cellStyle name="clc%" xfId="717"/>
    <cellStyle name="clc0" xfId="718"/>
    <cellStyle name="clc1" xfId="719"/>
    <cellStyle name="clc2" xfId="720"/>
    <cellStyle name="CLCdate" xfId="721"/>
    <cellStyle name="CMK" xfId="722"/>
    <cellStyle name="Code" xfId="723"/>
    <cellStyle name="Code 2" xfId="724"/>
    <cellStyle name="Code 3" xfId="725"/>
    <cellStyle name="Code 4" xfId="726"/>
    <cellStyle name="Code Section" xfId="727"/>
    <cellStyle name="Code_Analogs Sales EBITDA per employee" xfId="728"/>
    <cellStyle name="ColumnHeaderNormal" xfId="729"/>
    <cellStyle name="Comma" xfId="730"/>
    <cellStyle name="Comma [0]" xfId="731"/>
    <cellStyle name="Comma [00]" xfId="732"/>
    <cellStyle name="Comma 0" xfId="733"/>
    <cellStyle name="Comma 0*" xfId="734"/>
    <cellStyle name="Comma 0.0" xfId="735"/>
    <cellStyle name="Comma 0.0 2" xfId="736"/>
    <cellStyle name="Comma 0.0 3" xfId="737"/>
    <cellStyle name="Comma 0.00" xfId="738"/>
    <cellStyle name="Comma 0.00 2" xfId="739"/>
    <cellStyle name="Comma 0.00 3" xfId="740"/>
    <cellStyle name="Comma 0.000" xfId="741"/>
    <cellStyle name="Comma 0.000 2" xfId="742"/>
    <cellStyle name="Comma 0.000 3" xfId="743"/>
    <cellStyle name="Comma 10" xfId="744"/>
    <cellStyle name="Comma 10 2" xfId="745"/>
    <cellStyle name="Comma 10 3" xfId="746"/>
    <cellStyle name="Comma 10 4" xfId="747"/>
    <cellStyle name="Comma 11" xfId="748"/>
    <cellStyle name="Comma 11 2" xfId="749"/>
    <cellStyle name="Comma 12" xfId="750"/>
    <cellStyle name="Comma 12 2" xfId="751"/>
    <cellStyle name="Comma 13" xfId="752"/>
    <cellStyle name="Comma 14" xfId="753"/>
    <cellStyle name="Comma 15" xfId="754"/>
    <cellStyle name="Comma 16" xfId="755"/>
    <cellStyle name="Comma 17" xfId="756"/>
    <cellStyle name="Comma 18" xfId="757"/>
    <cellStyle name="Comma 19" xfId="758"/>
    <cellStyle name="Comma 2" xfId="759"/>
    <cellStyle name="Comma 2 10" xfId="760"/>
    <cellStyle name="Comma 2 11" xfId="761"/>
    <cellStyle name="Comma 2 2" xfId="762"/>
    <cellStyle name="Comma 2 2 2" xfId="763"/>
    <cellStyle name="Comma 2 2 3" xfId="764"/>
    <cellStyle name="Comma 2 3" xfId="765"/>
    <cellStyle name="Comma 2 4" xfId="766"/>
    <cellStyle name="Comma 2 5" xfId="767"/>
    <cellStyle name="Comma 2 6" xfId="768"/>
    <cellStyle name="Comma 2 7" xfId="769"/>
    <cellStyle name="Comma 2 8" xfId="770"/>
    <cellStyle name="Comma 2 9" xfId="771"/>
    <cellStyle name="Comma 2 9 2" xfId="772"/>
    <cellStyle name="Comma 2_~9660252" xfId="773"/>
    <cellStyle name="Comma 20" xfId="774"/>
    <cellStyle name="Comma 21" xfId="775"/>
    <cellStyle name="Comma 22" xfId="776"/>
    <cellStyle name="Comma 23" xfId="777"/>
    <cellStyle name="Comma 24" xfId="778"/>
    <cellStyle name="Comma 25" xfId="779"/>
    <cellStyle name="Comma 26" xfId="780"/>
    <cellStyle name="Comma 27" xfId="781"/>
    <cellStyle name="Comma 28" xfId="782"/>
    <cellStyle name="Comma 29" xfId="783"/>
    <cellStyle name="Comma 3" xfId="784"/>
    <cellStyle name="Comma 3 2" xfId="785"/>
    <cellStyle name="Comma 3 3" xfId="786"/>
    <cellStyle name="Comma 3 4" xfId="787"/>
    <cellStyle name="Comma 3 5" xfId="788"/>
    <cellStyle name="Comma 3 6" xfId="789"/>
    <cellStyle name="Comma 3 7" xfId="790"/>
    <cellStyle name="Comma 3 8" xfId="791"/>
    <cellStyle name="Comma 3 9" xfId="792"/>
    <cellStyle name="Comma 3*" xfId="793"/>
    <cellStyle name="Comma 3_FSL_WTC Tbilisi LLC_GRDC_2007" xfId="794"/>
    <cellStyle name="Comma 30" xfId="795"/>
    <cellStyle name="Comma 31" xfId="796"/>
    <cellStyle name="Comma 32" xfId="797"/>
    <cellStyle name="Comma 33" xfId="798"/>
    <cellStyle name="Comma 34" xfId="799"/>
    <cellStyle name="Comma 35" xfId="800"/>
    <cellStyle name="Comma 36" xfId="801"/>
    <cellStyle name="Comma 37" xfId="802"/>
    <cellStyle name="Comma 38" xfId="803"/>
    <cellStyle name="Comma 39" xfId="804"/>
    <cellStyle name="Comma 4" xfId="805"/>
    <cellStyle name="Comma 4 2" xfId="806"/>
    <cellStyle name="Comma 4 3" xfId="807"/>
    <cellStyle name="Comma 4_FSL_SB Register_YE_07" xfId="808"/>
    <cellStyle name="Comma 40" xfId="809"/>
    <cellStyle name="Comma 41" xfId="810"/>
    <cellStyle name="Comma 42" xfId="811"/>
    <cellStyle name="Comma 43" xfId="812"/>
    <cellStyle name="Comma 44" xfId="813"/>
    <cellStyle name="Comma 45" xfId="814"/>
    <cellStyle name="Comma 46" xfId="815"/>
    <cellStyle name="Comma 47" xfId="816"/>
    <cellStyle name="Comma 48" xfId="817"/>
    <cellStyle name="Comma 49" xfId="818"/>
    <cellStyle name="Comma 5" xfId="819"/>
    <cellStyle name="Comma 5 2" xfId="820"/>
    <cellStyle name="Comma 5 2 2" xfId="821"/>
    <cellStyle name="Comma 5_H-Lead" xfId="822"/>
    <cellStyle name="Comma 50" xfId="823"/>
    <cellStyle name="Comma 51" xfId="824"/>
    <cellStyle name="Comma 52" xfId="825"/>
    <cellStyle name="Comma 53" xfId="826"/>
    <cellStyle name="Comma 54" xfId="827"/>
    <cellStyle name="Comma 55" xfId="828"/>
    <cellStyle name="Comma 56" xfId="829"/>
    <cellStyle name="Comma 57" xfId="830"/>
    <cellStyle name="Comma 58" xfId="831"/>
    <cellStyle name="Comma 59" xfId="832"/>
    <cellStyle name="Comma 6" xfId="833"/>
    <cellStyle name="Comma 6 2" xfId="834"/>
    <cellStyle name="Comma 6 2 2" xfId="835"/>
    <cellStyle name="Comma 6 2 2 2" xfId="836"/>
    <cellStyle name="Comma 6_E-10" xfId="837"/>
    <cellStyle name="Comma 60" xfId="838"/>
    <cellStyle name="Comma 61" xfId="839"/>
    <cellStyle name="Comma 62" xfId="840"/>
    <cellStyle name="Comma 63" xfId="841"/>
    <cellStyle name="Comma 64" xfId="842"/>
    <cellStyle name="Comma 65" xfId="843"/>
    <cellStyle name="Comma 66" xfId="844"/>
    <cellStyle name="Comma 67" xfId="845"/>
    <cellStyle name="Comma 68" xfId="846"/>
    <cellStyle name="Comma 69" xfId="847"/>
    <cellStyle name="Comma 7" xfId="848"/>
    <cellStyle name="Comma 7 2" xfId="849"/>
    <cellStyle name="Comma 70" xfId="850"/>
    <cellStyle name="Comma 71" xfId="851"/>
    <cellStyle name="Comma 72" xfId="852"/>
    <cellStyle name="Comma 73" xfId="853"/>
    <cellStyle name="Comma 74" xfId="854"/>
    <cellStyle name="Comma 75" xfId="855"/>
    <cellStyle name="Comma 76" xfId="856"/>
    <cellStyle name="Comma 77" xfId="857"/>
    <cellStyle name="Comma 78" xfId="858"/>
    <cellStyle name="Comma 79" xfId="859"/>
    <cellStyle name="Comma 8" xfId="860"/>
    <cellStyle name="Comma 8 2" xfId="861"/>
    <cellStyle name="Comma 80" xfId="862"/>
    <cellStyle name="Comma 81" xfId="863"/>
    <cellStyle name="Comma 82" xfId="864"/>
    <cellStyle name="Comma 83" xfId="865"/>
    <cellStyle name="Comma 84" xfId="866"/>
    <cellStyle name="Comma 85" xfId="867"/>
    <cellStyle name="Comma 86" xfId="868"/>
    <cellStyle name="Comma 87" xfId="869"/>
    <cellStyle name="Comma 88" xfId="870"/>
    <cellStyle name="Comma 9" xfId="871"/>
    <cellStyle name="Comma 9 2" xfId="872"/>
    <cellStyle name="Comma0" xfId="873"/>
    <cellStyle name="Comma0 - Style3" xfId="874"/>
    <cellStyle name="Comma0 10" xfId="875"/>
    <cellStyle name="Comma0 2" xfId="876"/>
    <cellStyle name="Comma0 3" xfId="877"/>
    <cellStyle name="Comma0 4" xfId="878"/>
    <cellStyle name="Comma0 5" xfId="879"/>
    <cellStyle name="Comma0 6" xfId="880"/>
    <cellStyle name="Comma0 7" xfId="881"/>
    <cellStyle name="Comma0 8" xfId="882"/>
    <cellStyle name="Comma0 9" xfId="883"/>
    <cellStyle name="Comma1 - Style1" xfId="884"/>
    <cellStyle name="Company Name" xfId="885"/>
    <cellStyle name="copy_macro" xfId="886"/>
    <cellStyle name="Credit" xfId="887"/>
    <cellStyle name="Credit subtotal" xfId="888"/>
    <cellStyle name="Credit Total" xfId="889"/>
    <cellStyle name="Credit_ЛюбаАгафонова" xfId="890"/>
    <cellStyle name="Currency" xfId="891"/>
    <cellStyle name="Currency [0]" xfId="892"/>
    <cellStyle name="Currency [00]" xfId="893"/>
    <cellStyle name="Currency [2]" xfId="894"/>
    <cellStyle name="Currency 0" xfId="895"/>
    <cellStyle name="Currency 0.0" xfId="896"/>
    <cellStyle name="Currency 0.0 2" xfId="897"/>
    <cellStyle name="Currency 0.0 3" xfId="898"/>
    <cellStyle name="Currency 0.00" xfId="899"/>
    <cellStyle name="Currency 0.00 2" xfId="900"/>
    <cellStyle name="Currency 0.00 3" xfId="901"/>
    <cellStyle name="Currency 0.000" xfId="902"/>
    <cellStyle name="Currency 0.000 2" xfId="903"/>
    <cellStyle name="Currency 0.000 3" xfId="904"/>
    <cellStyle name="Currency 10" xfId="905"/>
    <cellStyle name="Currency 11" xfId="906"/>
    <cellStyle name="Currency 12" xfId="907"/>
    <cellStyle name="Currency 13" xfId="908"/>
    <cellStyle name="Currency 14" xfId="909"/>
    <cellStyle name="Currency 15" xfId="910"/>
    <cellStyle name="Currency 16" xfId="911"/>
    <cellStyle name="Currency 17" xfId="912"/>
    <cellStyle name="Currency 18" xfId="913"/>
    <cellStyle name="Currency 19" xfId="914"/>
    <cellStyle name="Currency 2" xfId="915"/>
    <cellStyle name="Currency 20" xfId="916"/>
    <cellStyle name="Currency 21" xfId="917"/>
    <cellStyle name="Currency 22" xfId="918"/>
    <cellStyle name="Currency 23" xfId="919"/>
    <cellStyle name="Currency 24" xfId="920"/>
    <cellStyle name="Currency 25" xfId="921"/>
    <cellStyle name="Currency 26" xfId="922"/>
    <cellStyle name="Currency 27" xfId="923"/>
    <cellStyle name="Currency 28" xfId="924"/>
    <cellStyle name="Currency 29" xfId="925"/>
    <cellStyle name="Currency 3" xfId="926"/>
    <cellStyle name="Currency 30" xfId="927"/>
    <cellStyle name="Currency 31" xfId="928"/>
    <cellStyle name="Currency 32" xfId="929"/>
    <cellStyle name="Currency 33" xfId="930"/>
    <cellStyle name="Currency 34" xfId="931"/>
    <cellStyle name="Currency 35" xfId="932"/>
    <cellStyle name="Currency 36" xfId="933"/>
    <cellStyle name="Currency 4" xfId="934"/>
    <cellStyle name="Currency 5" xfId="935"/>
    <cellStyle name="Currency 6" xfId="936"/>
    <cellStyle name="Currency 7" xfId="937"/>
    <cellStyle name="Currency 8" xfId="938"/>
    <cellStyle name="Currency 9" xfId="939"/>
    <cellStyle name="Currency EN" xfId="940"/>
    <cellStyle name="Currency RU" xfId="941"/>
    <cellStyle name="Currency RU calc" xfId="942"/>
    <cellStyle name="Currency RU_CP-P (2)" xfId="943"/>
    <cellStyle name="Currency0" xfId="944"/>
    <cellStyle name="Currency2" xfId="945"/>
    <cellStyle name="DataBases" xfId="946"/>
    <cellStyle name="DataToHide" xfId="947"/>
    <cellStyle name="Date" xfId="948"/>
    <cellStyle name="Date 2" xfId="949"/>
    <cellStyle name="Date 3" xfId="950"/>
    <cellStyle name="Date Aligned" xfId="951"/>
    <cellStyle name="Date EN" xfId="952"/>
    <cellStyle name="Date RU" xfId="953"/>
    <cellStyle name="Date Short" xfId="954"/>
    <cellStyle name="Date_MGOK brkdns 311206" xfId="955"/>
    <cellStyle name="Dateline" xfId="956"/>
    <cellStyle name="Datum" xfId="957"/>
    <cellStyle name="DblLineDollarAcct" xfId="958"/>
    <cellStyle name="DblLinePercent" xfId="959"/>
    <cellStyle name="Debit" xfId="960"/>
    <cellStyle name="Debit subtotal" xfId="961"/>
    <cellStyle name="Debit Total" xfId="962"/>
    <cellStyle name="Debit_ЛюбаАгафонова" xfId="963"/>
    <cellStyle name="DELTA" xfId="964"/>
    <cellStyle name="DELTA 2" xfId="965"/>
    <cellStyle name="DELTA 3" xfId="966"/>
    <cellStyle name="DELTA 4" xfId="967"/>
    <cellStyle name="DELTA 5" xfId="968"/>
    <cellStyle name="DELTA_~9660252" xfId="969"/>
    <cellStyle name="Deviant" xfId="970"/>
    <cellStyle name="Dezimal [0]_AX-5-Loan-Portfolio-Efficiency-310899" xfId="971"/>
    <cellStyle name="Dezimal_AX-5-Loan-Portfolio-Efficiency-310899" xfId="972"/>
    <cellStyle name="DollarAccounting" xfId="973"/>
    <cellStyle name="done" xfId="974"/>
    <cellStyle name="Dotted Line" xfId="975"/>
    <cellStyle name="DumDat" xfId="976"/>
    <cellStyle name="DummyDat" xfId="977"/>
    <cellStyle name="Dziesiêtny [0]_1" xfId="978"/>
    <cellStyle name="Dziesiętny [0]_Annexes WWBU 02-03 ER" xfId="979"/>
    <cellStyle name="Dziesiêtny_1" xfId="980"/>
    <cellStyle name="Dziesiętny_Annexes WWBU 02-03 ER" xfId="981"/>
    <cellStyle name="E&amp;Y House" xfId="982"/>
    <cellStyle name="ein" xfId="983"/>
    <cellStyle name="Emphasis 1" xfId="984"/>
    <cellStyle name="Emphasis 2" xfId="985"/>
    <cellStyle name="Emphasis 3" xfId="986"/>
    <cellStyle name="Enter Currency (0)" xfId="987"/>
    <cellStyle name="Enter Currency (2)" xfId="988"/>
    <cellStyle name="Enter Units (0)" xfId="989"/>
    <cellStyle name="Enter Units (1)" xfId="990"/>
    <cellStyle name="Enter Units (2)" xfId="991"/>
    <cellStyle name="Entities" xfId="992"/>
    <cellStyle name="Euro" xfId="993"/>
    <cellStyle name="Euro 2" xfId="994"/>
    <cellStyle name="Euro 2 2" xfId="995"/>
    <cellStyle name="Euro 2 3" xfId="996"/>
    <cellStyle name="Euro 3" xfId="997"/>
    <cellStyle name="Euro 3 2" xfId="998"/>
    <cellStyle name="Euro 3 3" xfId="999"/>
    <cellStyle name="Euro 4" xfId="1000"/>
    <cellStyle name="Euro 5" xfId="1001"/>
    <cellStyle name="Euro 6" xfId="1002"/>
    <cellStyle name="Euro 7" xfId="1003"/>
    <cellStyle name="Euro 8" xfId="1004"/>
    <cellStyle name="Euro_FSL_WTC Tbilisi LLC_GRDC_2007" xfId="1005"/>
    <cellStyle name="ew" xfId="1006"/>
    <cellStyle name="Explanatory Text" xfId="1007"/>
    <cellStyle name="Explanatory Text 2" xfId="1008"/>
    <cellStyle name="Explanatory Text 3" xfId="1009"/>
    <cellStyle name="Explanatory Text_Полная модель Абхазия 31032011_bv" xfId="1010"/>
    <cellStyle name="EY Narrative heading" xfId="1011"/>
    <cellStyle name="EY Narrative text" xfId="1012"/>
    <cellStyle name="EY source" xfId="1013"/>
    <cellStyle name="EY text" xfId="1014"/>
    <cellStyle name="EY%colcalc" xfId="1015"/>
    <cellStyle name="EY%input" xfId="1016"/>
    <cellStyle name="EY%rowcalc" xfId="1017"/>
    <cellStyle name="EY0dp" xfId="1018"/>
    <cellStyle name="EY0dp 2" xfId="1019"/>
    <cellStyle name="EY0dз" xfId="1020"/>
    <cellStyle name="EY1dp" xfId="1021"/>
    <cellStyle name="EY2dp" xfId="1022"/>
    <cellStyle name="EY3dp" xfId="1023"/>
    <cellStyle name="EYBlocked" xfId="1024"/>
    <cellStyle name="EYCallUp" xfId="1025"/>
    <cellStyle name="EYChartTitle" xfId="1026"/>
    <cellStyle name="EYCheck" xfId="1027"/>
    <cellStyle name="EYColumnHeading" xfId="1028"/>
    <cellStyle name="EYColumnHeading 2" xfId="1029"/>
    <cellStyle name="EYColumnHeading 3" xfId="1030"/>
    <cellStyle name="EYColumnHeading_Bitum_E&amp;Y_v19" xfId="1031"/>
    <cellStyle name="EYColumnHeadingItalic" xfId="1032"/>
    <cellStyle name="EYCoverDatabookName" xfId="1033"/>
    <cellStyle name="EYCoverDate" xfId="1034"/>
    <cellStyle name="EYCoverDraft" xfId="1035"/>
    <cellStyle name="EYCoverProjectName" xfId="1036"/>
    <cellStyle name="EYCurrency" xfId="1037"/>
    <cellStyle name="EYDate" xfId="1038"/>
    <cellStyle name="EYDeviant" xfId="1039"/>
    <cellStyle name="EYHeader1" xfId="1040"/>
    <cellStyle name="EYHeader2" xfId="1041"/>
    <cellStyle name="EYHeader3" xfId="1042"/>
    <cellStyle name="EYHeading1" xfId="1043"/>
    <cellStyle name="EYheading2" xfId="1044"/>
    <cellStyle name="EYheading3" xfId="1045"/>
    <cellStyle name="EYInputDate" xfId="1046"/>
    <cellStyle name="EYInputPercent" xfId="1047"/>
    <cellStyle name="EYInputValue" xfId="1048"/>
    <cellStyle name="EYNormal" xfId="1049"/>
    <cellStyle name="EYNotes" xfId="1050"/>
    <cellStyle name="EYNotesHeading" xfId="1051"/>
    <cellStyle name="EYNotesHeading 2" xfId="1052"/>
    <cellStyle name="EYnumber" xfId="1053"/>
    <cellStyle name="EYnumber 2" xfId="1054"/>
    <cellStyle name="EYPercent" xfId="1055"/>
    <cellStyle name="EYPercentCapped" xfId="1056"/>
    <cellStyle name="EYRelianceRestricted" xfId="1057"/>
    <cellStyle name="EYSectionHeading" xfId="1058"/>
    <cellStyle name="EYSheetHeader1" xfId="1059"/>
    <cellStyle name="EYSheetHeading" xfId="1060"/>
    <cellStyle name="EYSheetHeading 2" xfId="1061"/>
    <cellStyle name="EYsmallheading" xfId="1062"/>
    <cellStyle name="EYSource" xfId="1063"/>
    <cellStyle name="EYSubTotal" xfId="1064"/>
    <cellStyle name="EYtext" xfId="1065"/>
    <cellStyle name="EYtext 2" xfId="1066"/>
    <cellStyle name="EYtextbold" xfId="1067"/>
    <cellStyle name="EYtextbolditalic" xfId="1068"/>
    <cellStyle name="EYtextitalic" xfId="1069"/>
    <cellStyle name="EYTotal" xfId="1070"/>
    <cellStyle name="EYWIP" xfId="1071"/>
    <cellStyle name="F2" xfId="1072"/>
    <cellStyle name="F3" xfId="1073"/>
    <cellStyle name="F4" xfId="1074"/>
    <cellStyle name="F5" xfId="1075"/>
    <cellStyle name="F6" xfId="1076"/>
    <cellStyle name="F7" xfId="1077"/>
    <cellStyle name="F8" xfId="1078"/>
    <cellStyle name="Factor" xfId="1079"/>
    <cellStyle name="FCHa" xfId="1080"/>
    <cellStyle name="FCHECK" xfId="1081"/>
    <cellStyle name="fghdfhgvhgvhOR" xfId="1082"/>
    <cellStyle name="Final_Data" xfId="1083"/>
    <cellStyle name="Fixed" xfId="1084"/>
    <cellStyle name="Fixed3 - Style2" xfId="1085"/>
    <cellStyle name="Flag" xfId="1086"/>
    <cellStyle name="Flag 2" xfId="1087"/>
    <cellStyle name="Flag 3" xfId="1088"/>
    <cellStyle name="Flag 4" xfId="1089"/>
    <cellStyle name="Flag 5" xfId="1090"/>
    <cellStyle name="Flag_~9660252" xfId="1091"/>
    <cellStyle name="fo]_x000d__x000a_UserName=Murat Zelef_x000d__x000a_UserCompany=Bumerang_x000d__x000a__x000d__x000a_[File Paths]_x000d__x000a_WorkingDirectory=C:\EQUIS\DLWIN_x000d__x000a_DownLoader=C" xfId="1092"/>
    <cellStyle name="fo]_x000d__x000a_UserName=Murat Zelef_x000d__x000a_UserCompany=Bumerang_x000d__x000a__x000d__x000a_[File Paths]_x000d__x000a_WorkingDirectory=C:\EQUIS\DLWIN_x000d__x000a_DownLoader=C 2" xfId="1093"/>
    <cellStyle name="Footnote" xfId="1094"/>
    <cellStyle name="formula" xfId="1095"/>
    <cellStyle name="Formula bold" xfId="1096"/>
    <cellStyle name="Formula_20090317_MUSE_Final_DRAFT" xfId="1097"/>
    <cellStyle name="FPerc" xfId="1098"/>
    <cellStyle name="From" xfId="1099"/>
    <cellStyle name="General" xfId="1100"/>
    <cellStyle name="Gia's" xfId="1101"/>
    <cellStyle name="Good" xfId="1102"/>
    <cellStyle name="Good 2" xfId="1103"/>
    <cellStyle name="Good 3" xfId="1104"/>
    <cellStyle name="Good_Полная модель Абхазия 31032011_bv" xfId="1105"/>
    <cellStyle name="Green" xfId="1106"/>
    <cellStyle name="Grey" xfId="1107"/>
    <cellStyle name="H1" xfId="1108"/>
    <cellStyle name="hard no" xfId="1109"/>
    <cellStyle name="Hard Percent" xfId="1110"/>
    <cellStyle name="hardno" xfId="1111"/>
    <cellStyle name="Header" xfId="1112"/>
    <cellStyle name="Header1" xfId="1113"/>
    <cellStyle name="Header2" xfId="1114"/>
    <cellStyle name="Heading" xfId="1115"/>
    <cellStyle name="Heading 1" xfId="1116"/>
    <cellStyle name="Heading 1 2" xfId="1117"/>
    <cellStyle name="Heading 1 3" xfId="1118"/>
    <cellStyle name="Heading 1 4" xfId="1119"/>
    <cellStyle name="Heading 1_Анализ индикаторов на обесценение ИРРАО" xfId="1120"/>
    <cellStyle name="Heading 2" xfId="1121"/>
    <cellStyle name="Heading 2 2" xfId="1122"/>
    <cellStyle name="Heading 2 3" xfId="1123"/>
    <cellStyle name="Heading 2 4" xfId="1124"/>
    <cellStyle name="Heading 2_Анализ индикаторов на обесценение ИРРАО" xfId="1125"/>
    <cellStyle name="Heading 3" xfId="1126"/>
    <cellStyle name="Heading 3 2" xfId="1127"/>
    <cellStyle name="Heading 3 3" xfId="1128"/>
    <cellStyle name="Heading 3 4" xfId="1129"/>
    <cellStyle name="Heading 3_Анализ индикаторов на обесценение ИРРАО" xfId="1130"/>
    <cellStyle name="Heading 4" xfId="1131"/>
    <cellStyle name="Heading 4 2" xfId="1132"/>
    <cellStyle name="Heading 4 3" xfId="1133"/>
    <cellStyle name="Heading 4_Полная модель Абхазия 31032011_bv" xfId="1134"/>
    <cellStyle name="Heading A" xfId="1135"/>
    <cellStyle name="Heading No Underline" xfId="1136"/>
    <cellStyle name="Heading With Underline" xfId="1137"/>
    <cellStyle name="Heading_06 11_ноябрь_19 12 06" xfId="1138"/>
    <cellStyle name="Heading1" xfId="1139"/>
    <cellStyle name="Heading1 1" xfId="1140"/>
    <cellStyle name="Heading1 2" xfId="1141"/>
    <cellStyle name="Heading1 3" xfId="1142"/>
    <cellStyle name="Heading1 4" xfId="1143"/>
    <cellStyle name="Heading1 5" xfId="1144"/>
    <cellStyle name="Heading1_~9660252" xfId="1145"/>
    <cellStyle name="Heading2" xfId="1146"/>
    <cellStyle name="Heading2 2" xfId="1147"/>
    <cellStyle name="Heading2 3" xfId="1148"/>
    <cellStyle name="Heading2 4" xfId="1149"/>
    <cellStyle name="Heading2 5" xfId="1150"/>
    <cellStyle name="Heading2_~9660252" xfId="1151"/>
    <cellStyle name="Heading3" xfId="1152"/>
    <cellStyle name="Heading3 2" xfId="1153"/>
    <cellStyle name="Heading3 3" xfId="1154"/>
    <cellStyle name="Heading3 4" xfId="1155"/>
    <cellStyle name="Heading3 5" xfId="1156"/>
    <cellStyle name="Heading3_~9660252" xfId="1157"/>
    <cellStyle name="Heading4" xfId="1158"/>
    <cellStyle name="Heading4 2" xfId="1159"/>
    <cellStyle name="Heading4 3" xfId="1160"/>
    <cellStyle name="Heading4 4" xfId="1161"/>
    <cellStyle name="Heading4 5" xfId="1162"/>
    <cellStyle name="Heading4_~9660252" xfId="1163"/>
    <cellStyle name="Heading5" xfId="1164"/>
    <cellStyle name="Heading5 2" xfId="1165"/>
    <cellStyle name="Heading5 3" xfId="1166"/>
    <cellStyle name="Heading5 4" xfId="1167"/>
    <cellStyle name="Heading5 5" xfId="1168"/>
    <cellStyle name="Heading5_~9660252" xfId="1169"/>
    <cellStyle name="Heading6" xfId="1170"/>
    <cellStyle name="Heading6 2" xfId="1171"/>
    <cellStyle name="Heading6 3" xfId="1172"/>
    <cellStyle name="Heading6 4" xfId="1173"/>
    <cellStyle name="Heading6 5" xfId="1174"/>
    <cellStyle name="Heading6_~9660252" xfId="1175"/>
    <cellStyle name="Headline I" xfId="1176"/>
    <cellStyle name="Headline II" xfId="1177"/>
    <cellStyle name="Headline III" xfId="1178"/>
    <cellStyle name="Headline2" xfId="1179"/>
    <cellStyle name="Headline3" xfId="1180"/>
    <cellStyle name="HidInp" xfId="1181"/>
    <cellStyle name="Hipervínculo visitado_~0039347" xfId="1182"/>
    <cellStyle name="Hipervínculo_COMPARATIVOSSI" xfId="1183"/>
    <cellStyle name="Horizontal" xfId="1184"/>
    <cellStyle name="Horizontal 2" xfId="1185"/>
    <cellStyle name="Horizontal 3" xfId="1186"/>
    <cellStyle name="Horizontal 4" xfId="1187"/>
    <cellStyle name="Horizontal 5" xfId="1188"/>
    <cellStyle name="Horizontal_~9660252" xfId="1189"/>
    <cellStyle name="Hyperlink 2" xfId="1190"/>
    <cellStyle name="Hyperlink 2 2" xfId="1191"/>
    <cellStyle name="Hyperlink 3" xfId="1192"/>
    <cellStyle name="Hyperlink 4" xfId="1193"/>
    <cellStyle name="Hyperlink 5" xfId="1194"/>
    <cellStyle name="Iau?iue_?iardu1999a" xfId="1195"/>
    <cellStyle name="Îáû÷íûé_23_1 " xfId="1196"/>
    <cellStyle name="IDLEditWorkbookLocalCurrency" xfId="1197"/>
    <cellStyle name="IDLEditWorkbookLocalCurrency 2" xfId="1198"/>
    <cellStyle name="IDLEditWorkbookLocalCurrency 3" xfId="1199"/>
    <cellStyle name="In%" xfId="1200"/>
    <cellStyle name="In0" xfId="1201"/>
    <cellStyle name="In1" xfId="1202"/>
    <cellStyle name="In2" xfId="1203"/>
    <cellStyle name="Indate" xfId="1204"/>
    <cellStyle name="Info" xfId="1205"/>
    <cellStyle name="Input" xfId="1206"/>
    <cellStyle name="Input [yellow]" xfId="1207"/>
    <cellStyle name="Input 10" xfId="1208"/>
    <cellStyle name="Input 11" xfId="1209"/>
    <cellStyle name="Input 12" xfId="1210"/>
    <cellStyle name="Input 2" xfId="1211"/>
    <cellStyle name="Input 3" xfId="1212"/>
    <cellStyle name="Input 4" xfId="1213"/>
    <cellStyle name="Input 5" xfId="1214"/>
    <cellStyle name="Input 6" xfId="1215"/>
    <cellStyle name="Input 7" xfId="1216"/>
    <cellStyle name="Input 8" xfId="1217"/>
    <cellStyle name="Input 9" xfId="1218"/>
    <cellStyle name="Input data" xfId="1219"/>
    <cellStyle name="Input_8. Sochinskaya TTP model" xfId="1220"/>
    <cellStyle name="InputCurrency" xfId="1221"/>
    <cellStyle name="InputCurrency2" xfId="1222"/>
    <cellStyle name="InputMultiple1" xfId="1223"/>
    <cellStyle name="InputPercent1" xfId="1224"/>
    <cellStyle name="Inputs" xfId="1225"/>
    <cellStyle name="Invisible" xfId="1226"/>
    <cellStyle name="Ioe?uaaaoayny aeia?nnueea" xfId="1227"/>
    <cellStyle name="ISO" xfId="1228"/>
    <cellStyle name="Ite2" xfId="1229"/>
    <cellStyle name="Item1" xfId="1230"/>
    <cellStyle name="Item2" xfId="1231"/>
    <cellStyle name="Item3" xfId="1232"/>
    <cellStyle name="KPMG Heading 1" xfId="1233"/>
    <cellStyle name="KPMG Heading 1 2" xfId="1234"/>
    <cellStyle name="KPMG Heading 2" xfId="1235"/>
    <cellStyle name="KPMG Heading 2 2" xfId="1236"/>
    <cellStyle name="KPMG Heading 3" xfId="1237"/>
    <cellStyle name="KPMG Heading 3 2" xfId="1238"/>
    <cellStyle name="KPMG Heading 4" xfId="1239"/>
    <cellStyle name="KPMG Heading 4 2" xfId="1240"/>
    <cellStyle name="KPMG Normal" xfId="1241"/>
    <cellStyle name="KPMG Normal 2" xfId="1242"/>
    <cellStyle name="KPMG Normal Text" xfId="1243"/>
    <cellStyle name="KPMG Normal Text 2" xfId="1244"/>
    <cellStyle name="KPMG Normal_123" xfId="1245"/>
    <cellStyle name="Li%" xfId="1246"/>
    <cellStyle name="Li0" xfId="1247"/>
    <cellStyle name="Li1" xfId="1248"/>
    <cellStyle name="Li2" xfId="1249"/>
    <cellStyle name="Lidate" xfId="1250"/>
    <cellStyle name="Limked" xfId="1251"/>
    <cellStyle name="link" xfId="1252"/>
    <cellStyle name="Link Currency (0)" xfId="1253"/>
    <cellStyle name="Link Currency (2)" xfId="1254"/>
    <cellStyle name="Link Units (0)" xfId="1255"/>
    <cellStyle name="Link Units (1)" xfId="1256"/>
    <cellStyle name="Link Units (2)" xfId="1257"/>
    <cellStyle name="Linked" xfId="1258"/>
    <cellStyle name="Linked Cell" xfId="1259"/>
    <cellStyle name="Linked Cell 2" xfId="1260"/>
    <cellStyle name="Linked Cell 3" xfId="1261"/>
    <cellStyle name="Linked Cell_Полная модель Абхазия 31032011_bv" xfId="1262"/>
    <cellStyle name="linked values" xfId="1263"/>
    <cellStyle name="linked_PCSP (model)_24_final" xfId="1264"/>
    <cellStyle name="LMK" xfId="1265"/>
    <cellStyle name="LookUpText" xfId="1266"/>
    <cellStyle name="M·na" xfId="1267"/>
    <cellStyle name="MacroCode" xfId="1268"/>
    <cellStyle name="Matrix" xfId="1269"/>
    <cellStyle name="Matrix 2" xfId="1270"/>
    <cellStyle name="Matrix 3" xfId="1271"/>
    <cellStyle name="Matrix 4" xfId="1272"/>
    <cellStyle name="Matrix 5" xfId="1273"/>
    <cellStyle name="Matrix_~9660252" xfId="1274"/>
    <cellStyle name="Migliaia (0)" xfId="1275"/>
    <cellStyle name="Migliaia_Ita_01graf" xfId="1276"/>
    <cellStyle name="Millares [0]_~0011760" xfId="1277"/>
    <cellStyle name="Millares_~0011760" xfId="1278"/>
    <cellStyle name="Milliers [0]_laroux" xfId="1279"/>
    <cellStyle name="Milliers_AME199  " xfId="1280"/>
    <cellStyle name="Mon?taire [0]_RESULTS" xfId="1281"/>
    <cellStyle name="Mon?taire_RESULTS" xfId="1282"/>
    <cellStyle name="Moneda [0]_~0011760" xfId="1283"/>
    <cellStyle name="Moneda_~0011760" xfId="1284"/>
    <cellStyle name="Monetaire [0]_AR" xfId="1285"/>
    <cellStyle name="Monétaire [0]_RESULTS" xfId="1286"/>
    <cellStyle name="Monétaire_AME199  " xfId="1287"/>
    <cellStyle name="Monetaire_AR" xfId="1288"/>
    <cellStyle name="Monétaire_RESULTS" xfId="1289"/>
    <cellStyle name="Multiple" xfId="1290"/>
    <cellStyle name="Multiple1" xfId="1291"/>
    <cellStyle name="MultipleBelow" xfId="1292"/>
    <cellStyle name="Nadpis1" xfId="1293"/>
    <cellStyle name="Nadpis2" xfId="1294"/>
    <cellStyle name="Nedefinován" xfId="1295"/>
    <cellStyle name="Neutral" xfId="1296"/>
    <cellStyle name="Neutral 2" xfId="1297"/>
    <cellStyle name="Neutral 3" xfId="1298"/>
    <cellStyle name="Neutral_Полная модель Абхазия 31032011_bv" xfId="1299"/>
    <cellStyle name="NewColumnHeaderNormal" xfId="1300"/>
    <cellStyle name="NewSectionHeaderNormal" xfId="1301"/>
    <cellStyle name="NewTitleNormal" xfId="1302"/>
    <cellStyle name="no dec" xfId="1303"/>
    <cellStyle name="Non d‚fini" xfId="1304"/>
    <cellStyle name="Non d‚fini 2" xfId="1305"/>
    <cellStyle name="Non défini" xfId="1306"/>
    <cellStyle name="Non défini 2" xfId="1307"/>
    <cellStyle name="Non défini 3" xfId="1308"/>
    <cellStyle name="Non défini 4" xfId="1309"/>
    <cellStyle name="Non défini_Анализ индикаторов на обесценение ИРРАО" xfId="1310"/>
    <cellStyle name="nopl_WCP.XLS" xfId="1311"/>
    <cellStyle name="Norma11l" xfId="1312"/>
    <cellStyle name="Normal - Style1" xfId="1313"/>
    <cellStyle name="Normal - Style1 2" xfId="1314"/>
    <cellStyle name="Normal - Style1 3" xfId="1315"/>
    <cellStyle name="Normal - Style1 4" xfId="1316"/>
    <cellStyle name="Normal - Style1_TheModel_30_2012" xfId="1317"/>
    <cellStyle name="Normal 10" xfId="1318"/>
    <cellStyle name="Normal 11" xfId="1319"/>
    <cellStyle name="Normal 12" xfId="1320"/>
    <cellStyle name="Normal 13" xfId="1321"/>
    <cellStyle name="Normal 14" xfId="1322"/>
    <cellStyle name="Normal 15" xfId="1323"/>
    <cellStyle name="Normal 16" xfId="1324"/>
    <cellStyle name="Normal 17" xfId="1325"/>
    <cellStyle name="Normal 18" xfId="1326"/>
    <cellStyle name="Normal 19" xfId="1327"/>
    <cellStyle name="Normal 2" xfId="1328"/>
    <cellStyle name="Normal 2 10" xfId="1329"/>
    <cellStyle name="Normal 2 11" xfId="1330"/>
    <cellStyle name="Normal 2 12" xfId="1331"/>
    <cellStyle name="Normal 2 13" xfId="1332"/>
    <cellStyle name="Normal 2 14" xfId="1333"/>
    <cellStyle name="Normal 2 2" xfId="1334"/>
    <cellStyle name="Normal 2 2 2" xfId="1335"/>
    <cellStyle name="Normal 2 3" xfId="1336"/>
    <cellStyle name="Normal 2 4" xfId="1337"/>
    <cellStyle name="Normal 2 5" xfId="1338"/>
    <cellStyle name="Normal 2 6" xfId="1339"/>
    <cellStyle name="Normal 2 7" xfId="1340"/>
    <cellStyle name="Normal 2 8" xfId="1341"/>
    <cellStyle name="Normal 2 9" xfId="1342"/>
    <cellStyle name="Normal 2_BOG_IFRS FS &amp; Disclosures_2007" xfId="1343"/>
    <cellStyle name="Normal 20" xfId="1344"/>
    <cellStyle name="Normal 21" xfId="1345"/>
    <cellStyle name="Normal 22" xfId="1346"/>
    <cellStyle name="Normal 23" xfId="1347"/>
    <cellStyle name="Normal 24" xfId="1348"/>
    <cellStyle name="Normal 24 2" xfId="1349"/>
    <cellStyle name="Normal 25" xfId="1350"/>
    <cellStyle name="Normal 26" xfId="1351"/>
    <cellStyle name="Normal 27" xfId="1352"/>
    <cellStyle name="Normal 28" xfId="1353"/>
    <cellStyle name="Normal 29" xfId="1354"/>
    <cellStyle name="Normal 3" xfId="1355"/>
    <cellStyle name="Normal 3 2" xfId="1356"/>
    <cellStyle name="Normal 3 3" xfId="1357"/>
    <cellStyle name="Normal 30" xfId="1358"/>
    <cellStyle name="Normal 31" xfId="1359"/>
    <cellStyle name="Normal 32" xfId="1360"/>
    <cellStyle name="Normal 33" xfId="1361"/>
    <cellStyle name="Normal 34" xfId="1362"/>
    <cellStyle name="Normal 35" xfId="1363"/>
    <cellStyle name="Normal 36" xfId="1364"/>
    <cellStyle name="Normal 37" xfId="1365"/>
    <cellStyle name="Normal 38" xfId="1366"/>
    <cellStyle name="Normal 39" xfId="1367"/>
    <cellStyle name="Normal 4" xfId="1368"/>
    <cellStyle name="Normal 4 2" xfId="1369"/>
    <cellStyle name="Normal 4 3" xfId="1370"/>
    <cellStyle name="Normal 40" xfId="1371"/>
    <cellStyle name="Normal 41" xfId="1372"/>
    <cellStyle name="Normal 42" xfId="1373"/>
    <cellStyle name="Normal 43" xfId="1374"/>
    <cellStyle name="Normal 44" xfId="1375"/>
    <cellStyle name="Normal 45" xfId="1376"/>
    <cellStyle name="Normal 46" xfId="1377"/>
    <cellStyle name="Normal 47" xfId="1378"/>
    <cellStyle name="Normal 48" xfId="1379"/>
    <cellStyle name="Normal 49" xfId="1380"/>
    <cellStyle name="Normal 5" xfId="1381"/>
    <cellStyle name="Normal 50" xfId="1382"/>
    <cellStyle name="Normal 51" xfId="1383"/>
    <cellStyle name="Normal 52" xfId="1384"/>
    <cellStyle name="Normal 53" xfId="1385"/>
    <cellStyle name="Normal 54" xfId="1386"/>
    <cellStyle name="Normal 55" xfId="1387"/>
    <cellStyle name="Normal 56" xfId="1388"/>
    <cellStyle name="Normal 57" xfId="1389"/>
    <cellStyle name="Normal 58" xfId="1390"/>
    <cellStyle name="Normal 59" xfId="1391"/>
    <cellStyle name="Normal 6" xfId="1392"/>
    <cellStyle name="Normal 60" xfId="1393"/>
    <cellStyle name="Normal 61" xfId="1394"/>
    <cellStyle name="Normal 62" xfId="1395"/>
    <cellStyle name="Normal 63" xfId="1396"/>
    <cellStyle name="Normal 64" xfId="1397"/>
    <cellStyle name="Normal 65" xfId="1398"/>
    <cellStyle name="Normal 66" xfId="1399"/>
    <cellStyle name="Normal 67" xfId="1400"/>
    <cellStyle name="Normal 68" xfId="1401"/>
    <cellStyle name="Normal 69" xfId="1402"/>
    <cellStyle name="Normal 7" xfId="1403"/>
    <cellStyle name="Normal 70" xfId="1404"/>
    <cellStyle name="Normal 71" xfId="1405"/>
    <cellStyle name="Normal 72" xfId="1406"/>
    <cellStyle name="Normal 73" xfId="1407"/>
    <cellStyle name="Normal 74" xfId="1408"/>
    <cellStyle name="Normal 75" xfId="1409"/>
    <cellStyle name="Normal 76" xfId="1410"/>
    <cellStyle name="Normal 77" xfId="1411"/>
    <cellStyle name="Normal 78" xfId="1412"/>
    <cellStyle name="Normal 79" xfId="1413"/>
    <cellStyle name="Normal 8" xfId="1414"/>
    <cellStyle name="Normal 80" xfId="1415"/>
    <cellStyle name="Normal 81" xfId="1416"/>
    <cellStyle name="Normal 82" xfId="1417"/>
    <cellStyle name="Normal 83" xfId="1418"/>
    <cellStyle name="Normal 84" xfId="1419"/>
    <cellStyle name="Normal 85" xfId="1420"/>
    <cellStyle name="Normal 86" xfId="1421"/>
    <cellStyle name="Normal 87" xfId="1422"/>
    <cellStyle name="Normal 9" xfId="1423"/>
    <cellStyle name="Normal_grid4" xfId="1424"/>
    <cellStyle name="Normal1" xfId="1425"/>
    <cellStyle name="Normal2" xfId="1426"/>
    <cellStyle name="Normale_Ita_01graf" xfId="1427"/>
    <cellStyle name="NormalGB" xfId="1428"/>
    <cellStyle name="normálne_Valuation August 16,2000" xfId="1429"/>
    <cellStyle name="Normální 2" xfId="1430"/>
    <cellStyle name="Normální 3" xfId="1431"/>
    <cellStyle name="normální_model květen" xfId="1432"/>
    <cellStyle name="Normalny_0" xfId="1433"/>
    <cellStyle name="normбlnм_laroux" xfId="1434"/>
    <cellStyle name="normбlnн_laroux" xfId="1435"/>
    <cellStyle name="Note" xfId="1436"/>
    <cellStyle name="Note 2" xfId="1437"/>
    <cellStyle name="Note 2 2" xfId="1438"/>
    <cellStyle name="Note 2 3" xfId="1439"/>
    <cellStyle name="Note 3" xfId="1440"/>
    <cellStyle name="Note 4" xfId="1441"/>
    <cellStyle name="Note 5" xfId="1442"/>
    <cellStyle name="Note_Анализ индикаторов на обесценение ИРРАО" xfId="1443"/>
    <cellStyle name="Nun??c [0]_Ecnn1" xfId="1444"/>
    <cellStyle name="Nun??c_Ecnn1" xfId="1445"/>
    <cellStyle name="Ociriniaue [0]_laroux" xfId="1446"/>
    <cellStyle name="Ociriniaue_laroux" xfId="1447"/>
    <cellStyle name="Ôèíàíñîâûé [0]_Ëèñò1" xfId="1448"/>
    <cellStyle name="Oeiainiaue [0]_NotesFA" xfId="1449"/>
    <cellStyle name="Ôèíàíñîâûé_Ëèñò1" xfId="1450"/>
    <cellStyle name="Oeiainiaue_NotesFA" xfId="1451"/>
    <cellStyle name="OInput" xfId="1452"/>
    <cellStyle name="Option" xfId="1453"/>
    <cellStyle name="Option 2" xfId="1454"/>
    <cellStyle name="Option 3" xfId="1455"/>
    <cellStyle name="Option_Анализ индикаторов на обесценение ИРРАО" xfId="1456"/>
    <cellStyle name="OptionHeading" xfId="1457"/>
    <cellStyle name="OptionHeading 2" xfId="1458"/>
    <cellStyle name="OptionHeading 3" xfId="1459"/>
    <cellStyle name="OptionHeading 4" xfId="1460"/>
    <cellStyle name="OptionHeading 5" xfId="1461"/>
    <cellStyle name="OptionHeading_~9660252" xfId="1462"/>
    <cellStyle name="OScommands" xfId="1463"/>
    <cellStyle name="Ouny?e [0]_Oi?a IAIE" xfId="1464"/>
    <cellStyle name="Ouny?e_Oi?a IAIE" xfId="1465"/>
    <cellStyle name="Òûñÿ÷è [0]_cogs" xfId="1466"/>
    <cellStyle name="Òûñÿ÷è_cogs" xfId="1467"/>
    <cellStyle name="Output" xfId="1468"/>
    <cellStyle name="Output 2" xfId="1469"/>
    <cellStyle name="Output 3" xfId="1470"/>
    <cellStyle name="Output_Полная модель Абхазия 31032011_bv" xfId="1471"/>
    <cellStyle name="P_Input" xfId="1472"/>
    <cellStyle name="Paaotsikko" xfId="1473"/>
    <cellStyle name="Page Number" xfId="1474"/>
    <cellStyle name="PageSubTitle" xfId="1475"/>
    <cellStyle name="pb_page_heading_LS" xfId="1476"/>
    <cellStyle name="Percen - Style1" xfId="1477"/>
    <cellStyle name="Percen - Style1 2" xfId="1478"/>
    <cellStyle name="Percen - Style1 3" xfId="1479"/>
    <cellStyle name="Percen - Style1_Анализ индикаторов на обесценение ИРРАО" xfId="1480"/>
    <cellStyle name="Percen - Style3" xfId="1481"/>
    <cellStyle name="Percent" xfId="1482"/>
    <cellStyle name="Percent %" xfId="1483"/>
    <cellStyle name="Percent % 2" xfId="1484"/>
    <cellStyle name="Percent % 3" xfId="1485"/>
    <cellStyle name="Percent % Long Underline" xfId="1486"/>
    <cellStyle name="Percent % Long Underline 2" xfId="1487"/>
    <cellStyle name="Percent % Long Underline 3" xfId="1488"/>
    <cellStyle name="Percent (0)" xfId="1489"/>
    <cellStyle name="Percent (0) 2" xfId="1490"/>
    <cellStyle name="Percent (0) 3" xfId="1491"/>
    <cellStyle name="Percent [0]" xfId="1492"/>
    <cellStyle name="Percent [00]" xfId="1493"/>
    <cellStyle name="Percent [2]" xfId="1494"/>
    <cellStyle name="Percent 0.0%" xfId="1495"/>
    <cellStyle name="Percent 0.0% 2" xfId="1496"/>
    <cellStyle name="Percent 0.0% 3" xfId="1497"/>
    <cellStyle name="Percent 0.0% Long Underline" xfId="1498"/>
    <cellStyle name="Percent 0.0% Long Underline 2" xfId="1499"/>
    <cellStyle name="Percent 0.0% Long Underline 3" xfId="1500"/>
    <cellStyle name="Percent 0.00%" xfId="1501"/>
    <cellStyle name="Percent 0.00% 2" xfId="1502"/>
    <cellStyle name="Percent 0.00% 3" xfId="1503"/>
    <cellStyle name="Percent 0.00% Long Underline" xfId="1504"/>
    <cellStyle name="Percent 0.00% Long Underline 2" xfId="1505"/>
    <cellStyle name="Percent 0.00% Long Underline 3" xfId="1506"/>
    <cellStyle name="Percent 0.000%" xfId="1507"/>
    <cellStyle name="Percent 0.000% 2" xfId="1508"/>
    <cellStyle name="Percent 0.000% 3" xfId="1509"/>
    <cellStyle name="Percent 0.000% Long Underline" xfId="1510"/>
    <cellStyle name="Percent 0.000% Long Underline 2" xfId="1511"/>
    <cellStyle name="Percent 0.000% Long Underline 3" xfId="1512"/>
    <cellStyle name="Percent 10" xfId="1513"/>
    <cellStyle name="Percent 11" xfId="1514"/>
    <cellStyle name="Percent 12" xfId="1515"/>
    <cellStyle name="Percent 13" xfId="1516"/>
    <cellStyle name="Percent 14" xfId="1517"/>
    <cellStyle name="Percent 15" xfId="1518"/>
    <cellStyle name="Percent 16" xfId="1519"/>
    <cellStyle name="Percent 17" xfId="1520"/>
    <cellStyle name="Percent 18" xfId="1521"/>
    <cellStyle name="Percent 19" xfId="1522"/>
    <cellStyle name="Percent 2" xfId="1523"/>
    <cellStyle name="Percent 2 2" xfId="1524"/>
    <cellStyle name="Percent 2 3" xfId="1525"/>
    <cellStyle name="Percent 2 4" xfId="1526"/>
    <cellStyle name="Percent 20" xfId="1527"/>
    <cellStyle name="Percent 21" xfId="1528"/>
    <cellStyle name="Percent 22" xfId="1529"/>
    <cellStyle name="Percent 23" xfId="1530"/>
    <cellStyle name="Percent 24" xfId="1531"/>
    <cellStyle name="Percent 25" xfId="1532"/>
    <cellStyle name="Percent 26" xfId="1533"/>
    <cellStyle name="Percent 27" xfId="1534"/>
    <cellStyle name="Percent 28" xfId="1535"/>
    <cellStyle name="Percent 29" xfId="1536"/>
    <cellStyle name="Percent 3" xfId="1537"/>
    <cellStyle name="Percent 3 2" xfId="1538"/>
    <cellStyle name="Percent 30" xfId="1539"/>
    <cellStyle name="Percent 31" xfId="1540"/>
    <cellStyle name="Percent 32" xfId="1541"/>
    <cellStyle name="Percent 33" xfId="1542"/>
    <cellStyle name="Percent 34" xfId="1543"/>
    <cellStyle name="Percent 35" xfId="1544"/>
    <cellStyle name="Percent 36" xfId="1545"/>
    <cellStyle name="Percent 37" xfId="1546"/>
    <cellStyle name="Percent 38" xfId="1547"/>
    <cellStyle name="Percent 39" xfId="1548"/>
    <cellStyle name="Percent 4" xfId="1549"/>
    <cellStyle name="Percent 40" xfId="1550"/>
    <cellStyle name="Percent 41" xfId="1551"/>
    <cellStyle name="Percent 42" xfId="1552"/>
    <cellStyle name="Percent 43" xfId="1553"/>
    <cellStyle name="Percent 44" xfId="1554"/>
    <cellStyle name="Percent 45" xfId="1555"/>
    <cellStyle name="Percent 46" xfId="1556"/>
    <cellStyle name="Percent 47" xfId="1557"/>
    <cellStyle name="Percent 48" xfId="1558"/>
    <cellStyle name="Percent 49" xfId="1559"/>
    <cellStyle name="Percent 5" xfId="1560"/>
    <cellStyle name="Percent 50" xfId="1561"/>
    <cellStyle name="Percent 51" xfId="1562"/>
    <cellStyle name="Percent 52" xfId="1563"/>
    <cellStyle name="Percent 53" xfId="1564"/>
    <cellStyle name="Percent 54" xfId="1565"/>
    <cellStyle name="Percent 55" xfId="1566"/>
    <cellStyle name="Percent 56" xfId="1567"/>
    <cellStyle name="Percent 57" xfId="1568"/>
    <cellStyle name="Percent 58" xfId="1569"/>
    <cellStyle name="Percent 59" xfId="1570"/>
    <cellStyle name="Percent 6" xfId="1571"/>
    <cellStyle name="Percent 60" xfId="1572"/>
    <cellStyle name="Percent 61" xfId="1573"/>
    <cellStyle name="Percent 62" xfId="1574"/>
    <cellStyle name="Percent 63" xfId="1575"/>
    <cellStyle name="Percent 64" xfId="1576"/>
    <cellStyle name="Percent 65" xfId="1577"/>
    <cellStyle name="Percent 66" xfId="1578"/>
    <cellStyle name="Percent 67" xfId="1579"/>
    <cellStyle name="Percent 68" xfId="1580"/>
    <cellStyle name="Percent 69" xfId="1581"/>
    <cellStyle name="Percent 7" xfId="1582"/>
    <cellStyle name="Percent 70" xfId="1583"/>
    <cellStyle name="Percent 71" xfId="1584"/>
    <cellStyle name="Percent 72" xfId="1585"/>
    <cellStyle name="Percent 73" xfId="1586"/>
    <cellStyle name="Percent 74" xfId="1587"/>
    <cellStyle name="Percent 75" xfId="1588"/>
    <cellStyle name="Percent 76" xfId="1589"/>
    <cellStyle name="Percent 77" xfId="1590"/>
    <cellStyle name="Percent 78" xfId="1591"/>
    <cellStyle name="Percent 79" xfId="1592"/>
    <cellStyle name="Percent 8" xfId="1593"/>
    <cellStyle name="Percent 8 2" xfId="1594"/>
    <cellStyle name="Percent 80" xfId="1595"/>
    <cellStyle name="Percent 9" xfId="1596"/>
    <cellStyle name="Percent1" xfId="1597"/>
    <cellStyle name="Periods" xfId="1598"/>
    <cellStyle name="Pevní" xfId="1599"/>
    <cellStyle name="PillarData" xfId="1600"/>
    <cellStyle name="PillarHeading" xfId="1601"/>
    <cellStyle name="PillarText" xfId="1602"/>
    <cellStyle name="PillarTotal" xfId="1603"/>
    <cellStyle name="Piug" xfId="1604"/>
    <cellStyle name="Plug" xfId="1605"/>
    <cellStyle name="Pourcentage_AME199  " xfId="1606"/>
    <cellStyle name="PrePop Currency (0)" xfId="1607"/>
    <cellStyle name="PrePop Currency (2)" xfId="1608"/>
    <cellStyle name="PrePop Units (0)" xfId="1609"/>
    <cellStyle name="PrePop Units (1)" xfId="1610"/>
    <cellStyle name="PrePop Units (2)" xfId="1611"/>
    <cellStyle name="Price" xfId="1612"/>
    <cellStyle name="Price 2" xfId="1613"/>
    <cellStyle name="Price 3" xfId="1614"/>
    <cellStyle name="Price 4" xfId="1615"/>
    <cellStyle name="Price 5" xfId="1616"/>
    <cellStyle name="Price 6" xfId="1617"/>
    <cellStyle name="Price_~9660252" xfId="1618"/>
    <cellStyle name="Procenta" xfId="1619"/>
    <cellStyle name="Procenta 2" xfId="1620"/>
    <cellStyle name="Procenta 3" xfId="1621"/>
    <cellStyle name="Pддotsikko" xfId="1622"/>
    <cellStyle name="Ratio" xfId="1623"/>
    <cellStyle name="ReadInData" xfId="1624"/>
    <cellStyle name="Reference" xfId="1625"/>
    <cellStyle name="ReportNums" xfId="1626"/>
    <cellStyle name="Salomon Logo" xfId="1627"/>
    <cellStyle name="SAPBEXaggData" xfId="1628"/>
    <cellStyle name="SAPBEXaggDataEmph" xfId="1629"/>
    <cellStyle name="SAPBEXaggItem" xfId="1630"/>
    <cellStyle name="SAPBEXaggItemX" xfId="1631"/>
    <cellStyle name="SAPBEXchaText" xfId="1632"/>
    <cellStyle name="SAPBEXchaText 2" xfId="1633"/>
    <cellStyle name="SAPBEXchaText 3" xfId="1634"/>
    <cellStyle name="SAPBEXchaText_Анализ индикаторов на обесценение ИРРАО" xfId="1635"/>
    <cellStyle name="SAPBEXexcBad7" xfId="1636"/>
    <cellStyle name="SAPBEXexcBad8" xfId="1637"/>
    <cellStyle name="SAPBEXexcBad9" xfId="1638"/>
    <cellStyle name="SAPBEXexcCritical4" xfId="1639"/>
    <cellStyle name="SAPBEXexcCritical5" xfId="1640"/>
    <cellStyle name="SAPBEXexcCritical6" xfId="1641"/>
    <cellStyle name="SAPBEXexcGood1" xfId="1642"/>
    <cellStyle name="SAPBEXexcGood2" xfId="1643"/>
    <cellStyle name="SAPBEXexcGood3" xfId="1644"/>
    <cellStyle name="SAPBEXfilterDrill" xfId="1645"/>
    <cellStyle name="SAPBEXfilterItem" xfId="1646"/>
    <cellStyle name="SAPBEXfilterText" xfId="1647"/>
    <cellStyle name="SAPBEXformats" xfId="1648"/>
    <cellStyle name="SAPBEXformats 2" xfId="1649"/>
    <cellStyle name="SAPBEXformats 3" xfId="1650"/>
    <cellStyle name="SAPBEXformats 4" xfId="1651"/>
    <cellStyle name="SAPBEXformats 5" xfId="1652"/>
    <cellStyle name="SAPBEXformats_Анализ индикаторов на обесценение ИРРАО" xfId="1653"/>
    <cellStyle name="SAPBEXheaderItem" xfId="1654"/>
    <cellStyle name="SAPBEXheaderItem 2" xfId="1655"/>
    <cellStyle name="SAPBEXheaderItem 3" xfId="1656"/>
    <cellStyle name="SAPBEXheaderItem_Анализ индикаторов на обесценение ИРРАО" xfId="1657"/>
    <cellStyle name="SAPBEXheaderText" xfId="1658"/>
    <cellStyle name="SAPBEXheaderText 2" xfId="1659"/>
    <cellStyle name="SAPBEXheaderText 3" xfId="1660"/>
    <cellStyle name="SAPBEXheaderText_Анализ индикаторов на обесценение ИРРАО" xfId="1661"/>
    <cellStyle name="SAPBEXHLevel0" xfId="1662"/>
    <cellStyle name="SAPBEXHLevel0 2" xfId="1663"/>
    <cellStyle name="SAPBEXHLevel0 3" xfId="1664"/>
    <cellStyle name="SAPBEXHLevel0_Анализ индикаторов на обесценение ИРРАО" xfId="1665"/>
    <cellStyle name="SAPBEXHLevel0X" xfId="1666"/>
    <cellStyle name="SAPBEXHLevel0X 2" xfId="1667"/>
    <cellStyle name="SAPBEXHLevel0X 3" xfId="1668"/>
    <cellStyle name="SAPBEXHLevel0X_Анализ индикаторов на обесценение ИРРАО" xfId="1669"/>
    <cellStyle name="SAPBEXHLevel1" xfId="1670"/>
    <cellStyle name="SAPBEXHLevel1 2" xfId="1671"/>
    <cellStyle name="SAPBEXHLevel1 3" xfId="1672"/>
    <cellStyle name="SAPBEXHLevel1 4" xfId="1673"/>
    <cellStyle name="SAPBEXHLevel1_Анализ индикаторов на обесценение ИРРАО" xfId="1674"/>
    <cellStyle name="SAPBEXHLevel1X" xfId="1675"/>
    <cellStyle name="SAPBEXHLevel1X 2" xfId="1676"/>
    <cellStyle name="SAPBEXHLevel1X 3" xfId="1677"/>
    <cellStyle name="SAPBEXHLevel1X_Анализ индикаторов на обесценение ИРРАО" xfId="1678"/>
    <cellStyle name="SAPBEXHLevel2" xfId="1679"/>
    <cellStyle name="SAPBEXHLevel2X" xfId="1680"/>
    <cellStyle name="SAPBEXHLevel2X 2" xfId="1681"/>
    <cellStyle name="SAPBEXHLevel2X 3" xfId="1682"/>
    <cellStyle name="SAPBEXHLevel2X_Анализ индикаторов на обесценение ИРРАО" xfId="1683"/>
    <cellStyle name="SAPBEXHLevel3" xfId="1684"/>
    <cellStyle name="SAPBEXHLevel3 2" xfId="1685"/>
    <cellStyle name="SAPBEXHLevel3 3" xfId="1686"/>
    <cellStyle name="SAPBEXHLevel3_Анализ индикаторов на обесценение ИРРАО" xfId="1687"/>
    <cellStyle name="SAPBEXHLevel3X" xfId="1688"/>
    <cellStyle name="SAPBEXHLevel3X 2" xfId="1689"/>
    <cellStyle name="SAPBEXHLevel3X 3" xfId="1690"/>
    <cellStyle name="SAPBEXHLevel3X_Анализ индикаторов на обесценение ИРРАО" xfId="1691"/>
    <cellStyle name="SAPBEXresData" xfId="1692"/>
    <cellStyle name="SAPBEXresDataEmph" xfId="1693"/>
    <cellStyle name="SAPBEXresItem" xfId="1694"/>
    <cellStyle name="SAPBEXresItemX" xfId="1695"/>
    <cellStyle name="SAPBEXstdData" xfId="1696"/>
    <cellStyle name="SAPBEXstdData 2" xfId="1697"/>
    <cellStyle name="SAPBEXstdDataEmph" xfId="1698"/>
    <cellStyle name="SAPBEXstdItem" xfId="1699"/>
    <cellStyle name="SAPBEXstdItem 2" xfId="1700"/>
    <cellStyle name="SAPBEXstdItem 3" xfId="1701"/>
    <cellStyle name="SAPBEXstdItem 4" xfId="1702"/>
    <cellStyle name="SAPBEXstdItem 5" xfId="1703"/>
    <cellStyle name="SAPBEXstdItem_Анализ индикаторов на обесценение ИРРАО" xfId="1704"/>
    <cellStyle name="SAPBEXstdItemX" xfId="1705"/>
    <cellStyle name="SAPBEXstdItemX 2" xfId="1706"/>
    <cellStyle name="SAPBEXstdItemX 3" xfId="1707"/>
    <cellStyle name="SAPBEXstdItemX_Анализ индикаторов на обесценение ИРРАО" xfId="1708"/>
    <cellStyle name="SAPBEXtitle" xfId="1709"/>
    <cellStyle name="SAPBEXundefined" xfId="1710"/>
    <cellStyle name="Sbox" xfId="1711"/>
    <cellStyle name="Scenario" xfId="1712"/>
    <cellStyle name="Scenario 1" xfId="1713"/>
    <cellStyle name="Scenario box" xfId="1714"/>
    <cellStyle name="scenario_20090317_MUSE_Final_DRAFT" xfId="1715"/>
    <cellStyle name="Scenarios" xfId="1716"/>
    <cellStyle name="SectionHeaderNormal" xfId="1717"/>
    <cellStyle name="Sheet Title" xfId="1718"/>
    <cellStyle name="SingleLineAcctgn" xfId="1719"/>
    <cellStyle name="SingleLinePercent" xfId="1720"/>
    <cellStyle name="small" xfId="1721"/>
    <cellStyle name="STANDARD" xfId="1722"/>
    <cellStyle name="Stilius 1" xfId="1723"/>
    <cellStyle name="Style 1" xfId="1724"/>
    <cellStyle name="Style 1 2" xfId="1725"/>
    <cellStyle name="Style 1 3" xfId="1726"/>
    <cellStyle name="Style 10" xfId="1727"/>
    <cellStyle name="Style 11" xfId="1728"/>
    <cellStyle name="Style 12" xfId="1729"/>
    <cellStyle name="Style 13" xfId="1730"/>
    <cellStyle name="Style 14" xfId="1731"/>
    <cellStyle name="Style 15" xfId="1732"/>
    <cellStyle name="Style 16" xfId="1733"/>
    <cellStyle name="Style 17" xfId="1734"/>
    <cellStyle name="Style 18" xfId="1735"/>
    <cellStyle name="Style 2" xfId="1736"/>
    <cellStyle name="Style 3" xfId="1737"/>
    <cellStyle name="Style 4" xfId="1738"/>
    <cellStyle name="Style 5" xfId="1739"/>
    <cellStyle name="Style 6" xfId="1740"/>
    <cellStyle name="Style 7" xfId="1741"/>
    <cellStyle name="Style 8" xfId="1742"/>
    <cellStyle name="Style 9" xfId="1743"/>
    <cellStyle name="STYLE1 - Style1" xfId="1744"/>
    <cellStyle name="SubScript" xfId="1745"/>
    <cellStyle name="Subtotal" xfId="1746"/>
    <cellStyle name="Summe" xfId="1747"/>
    <cellStyle name="SuperScript" xfId="1748"/>
    <cellStyle name="T1" xfId="1749"/>
    <cellStyle name="T2" xfId="1750"/>
    <cellStyle name="T2 '" xfId="1751"/>
    <cellStyle name="T3" xfId="1752"/>
    <cellStyle name="T3 '" xfId="1753"/>
    <cellStyle name="Table" xfId="1754"/>
    <cellStyle name="Table Head" xfId="1755"/>
    <cellStyle name="Table Head Aligned" xfId="1756"/>
    <cellStyle name="Table Head Blue" xfId="1757"/>
    <cellStyle name="Table Head Green" xfId="1758"/>
    <cellStyle name="Table Head_Val_Sum_Graph" xfId="1759"/>
    <cellStyle name="Table Heading" xfId="1760"/>
    <cellStyle name="Table Text" xfId="1761"/>
    <cellStyle name="Table Title" xfId="1762"/>
    <cellStyle name="Table Units" xfId="1763"/>
    <cellStyle name="Table_Header" xfId="1764"/>
    <cellStyle name="tableField" xfId="1765"/>
    <cellStyle name="test" xfId="1766"/>
    <cellStyle name="Text" xfId="1767"/>
    <cellStyle name="Text 1" xfId="1768"/>
    <cellStyle name="Text 2" xfId="1769"/>
    <cellStyle name="Text Head" xfId="1770"/>
    <cellStyle name="Text Head 1" xfId="1771"/>
    <cellStyle name="Text Indent A" xfId="1772"/>
    <cellStyle name="Text Indent B" xfId="1773"/>
    <cellStyle name="Text Indent C" xfId="1774"/>
    <cellStyle name="TextBold" xfId="1775"/>
    <cellStyle name="TextItalic" xfId="1776"/>
    <cellStyle name="TextNormal" xfId="1777"/>
    <cellStyle name="Tickmark" xfId="1778"/>
    <cellStyle name="Title" xfId="1779"/>
    <cellStyle name="Title 2" xfId="1780"/>
    <cellStyle name="Title 3" xfId="1781"/>
    <cellStyle name="Title 4" xfId="1782"/>
    <cellStyle name="Title_Анализ индикаторов на обесценение ИРРАО" xfId="1783"/>
    <cellStyle name="TitleNormal" xfId="1784"/>
    <cellStyle name="To" xfId="1785"/>
    <cellStyle name="TopGrey" xfId="1786"/>
    <cellStyle name="Total" xfId="1787"/>
    <cellStyle name="Total 2" xfId="1788"/>
    <cellStyle name="Total 3" xfId="1789"/>
    <cellStyle name="Total 4" xfId="1790"/>
    <cellStyle name="total no bold" xfId="1791"/>
    <cellStyle name="Total_Анализ индикаторов на обесценение ИРРАО" xfId="1792"/>
    <cellStyle name="Total2 - Style2" xfId="1793"/>
    <cellStyle name="TotalCurrency" xfId="1794"/>
    <cellStyle name="totals_bold" xfId="1795"/>
    <cellStyle name="UI Background" xfId="1796"/>
    <cellStyle name="UIScreenText" xfId="1797"/>
    <cellStyle name="Ujke,jq" xfId="1798"/>
    <cellStyle name="Undefiniert" xfId="1799"/>
    <cellStyle name="Undefiniert 2" xfId="1800"/>
    <cellStyle name="Undefiniert 3" xfId="1801"/>
    <cellStyle name="Undefiniert 4" xfId="1802"/>
    <cellStyle name="Undefiniert 5" xfId="1803"/>
    <cellStyle name="Undefiniert_Анализ индикаторов на обесценение ИРРАО" xfId="1804"/>
    <cellStyle name="Underline_Single" xfId="1805"/>
    <cellStyle name="Unit" xfId="1806"/>
    <cellStyle name="Unit 2" xfId="1807"/>
    <cellStyle name="Unit 3" xfId="1808"/>
    <cellStyle name="Unit_Анализ индикаторов на обесценение ИРРАО" xfId="1809"/>
    <cellStyle name="upper border2" xfId="1810"/>
    <cellStyle name="ux" xfId="1811"/>
    <cellStyle name="Val_date" xfId="1812"/>
    <cellStyle name="Valiotsikko" xfId="1813"/>
    <cellStyle name="Valuta (0)" xfId="1814"/>
    <cellStyle name="Valuta_Ita_01graf" xfId="1815"/>
    <cellStyle name="Variables" xfId="1816"/>
    <cellStyle name="vb-rynok" xfId="1817"/>
    <cellStyle name="Vertical" xfId="1818"/>
    <cellStyle name="Vertical 2" xfId="1819"/>
    <cellStyle name="Vertical 3" xfId="1820"/>
    <cellStyle name="Vertical 4" xfId="1821"/>
    <cellStyle name="Vertical 5" xfId="1822"/>
    <cellStyle name="Vertical_~9660252" xfId="1823"/>
    <cellStyle name="Vдliotsikko" xfId="1824"/>
    <cellStyle name="Währung [0]_AX-3-4-Balance-Sheet-310899" xfId="1825"/>
    <cellStyle name="Wahrung [0]_Bilanz" xfId="1826"/>
    <cellStyle name="Währung [0]_laroux" xfId="1827"/>
    <cellStyle name="Währung_AX-3-4-Balance-Sheet-310899" xfId="1828"/>
    <cellStyle name="Wahrung_Bilanz" xfId="1829"/>
    <cellStyle name="Währung_laroux" xfId="1830"/>
    <cellStyle name="Walutowy [0]_1" xfId="1831"/>
    <cellStyle name="Walutowy_1" xfId="1832"/>
    <cellStyle name="Warning Text" xfId="1833"/>
    <cellStyle name="Warning Text 2" xfId="1834"/>
    <cellStyle name="Warning Text 3" xfId="1835"/>
    <cellStyle name="Warning Text_Полная модель Абхазия 31032011_bv" xfId="1836"/>
    <cellStyle name="WIP" xfId="1837"/>
    <cellStyle name="XComma" xfId="1838"/>
    <cellStyle name="XComma 0.0" xfId="1839"/>
    <cellStyle name="XComma 0.0 2" xfId="1840"/>
    <cellStyle name="XComma 0.0 3" xfId="1841"/>
    <cellStyle name="XComma 0.00" xfId="1842"/>
    <cellStyle name="XComma 0.00 2" xfId="1843"/>
    <cellStyle name="XComma 0.00 3" xfId="1844"/>
    <cellStyle name="XComma 0.000" xfId="1845"/>
    <cellStyle name="XComma 0.000 2" xfId="1846"/>
    <cellStyle name="XComma 0.000 3" xfId="1847"/>
    <cellStyle name="XComma 2" xfId="1848"/>
    <cellStyle name="XComma 3" xfId="1849"/>
    <cellStyle name="XCurrency" xfId="1850"/>
    <cellStyle name="XCurrency 0.0" xfId="1851"/>
    <cellStyle name="XCurrency 0.0 2" xfId="1852"/>
    <cellStyle name="XCurrency 0.0 3" xfId="1853"/>
    <cellStyle name="XCurrency 0.00" xfId="1854"/>
    <cellStyle name="XCurrency 0.00 2" xfId="1855"/>
    <cellStyle name="XCurrency 0.00 3" xfId="1856"/>
    <cellStyle name="XCurrency 0.000" xfId="1857"/>
    <cellStyle name="XCurrency 0.000 2" xfId="1858"/>
    <cellStyle name="XCurrency 0.000 3" xfId="1859"/>
    <cellStyle name="XCurrency 2" xfId="1860"/>
    <cellStyle name="XCurrency 3" xfId="1861"/>
    <cellStyle name="year" xfId="1862"/>
    <cellStyle name="Year 2" xfId="1863"/>
    <cellStyle name="Year EN" xfId="1864"/>
    <cellStyle name="Year RU" xfId="1865"/>
    <cellStyle name="Years" xfId="1866"/>
    <cellStyle name="Zero" xfId="1867"/>
    <cellStyle name="Βασικό_Analyse Trimestrielle E0" xfId="1868"/>
    <cellStyle name="Акцент1 2" xfId="1869"/>
    <cellStyle name="Акцент1 3" xfId="1870"/>
    <cellStyle name="Акцент2 2" xfId="1871"/>
    <cellStyle name="Акцент2 3" xfId="1872"/>
    <cellStyle name="Акцент3 2" xfId="1873"/>
    <cellStyle name="Акцент3 3" xfId="1874"/>
    <cellStyle name="Акцент3 9 2" xfId="1875"/>
    <cellStyle name="Акцент4 2" xfId="1876"/>
    <cellStyle name="Акцент4 3" xfId="1877"/>
    <cellStyle name="Акцент5 2" xfId="1878"/>
    <cellStyle name="Акцент5 3" xfId="1879"/>
    <cellStyle name="Акцент6 2" xfId="1880"/>
    <cellStyle name="Акцент6 3" xfId="1881"/>
    <cellStyle name="ащк" xfId="1882"/>
    <cellStyle name="Беззащитный" xfId="1883"/>
    <cellStyle name="вагоны" xfId="1884"/>
    <cellStyle name="Ввод  2" xfId="1885"/>
    <cellStyle name="Ввод  3" xfId="1886"/>
    <cellStyle name="Ввод  4" xfId="1887"/>
    <cellStyle name="Верт. заголовок" xfId="1888"/>
    <cellStyle name="Верх" xfId="1889"/>
    <cellStyle name="Вес_продукта" xfId="1890"/>
    <cellStyle name="Внебиржевой" xfId="1891"/>
    <cellStyle name="Вывод 2" xfId="1892"/>
    <cellStyle name="Вывод 3" xfId="1893"/>
    <cellStyle name="Вычисление 2" xfId="1894"/>
    <cellStyle name="Вычисление 3" xfId="1895"/>
    <cellStyle name="Гиперссылка" xfId="2225" builtinId="8"/>
    <cellStyle name="Гиперссылка 2" xfId="1896"/>
    <cellStyle name="Группа" xfId="1897"/>
    <cellStyle name="Группа 0" xfId="1898"/>
    <cellStyle name="Группа 1" xfId="1899"/>
    <cellStyle name="Группа 2" xfId="1900"/>
    <cellStyle name="Группа 3" xfId="1901"/>
    <cellStyle name="Группа 4" xfId="1902"/>
    <cellStyle name="Группа 5" xfId="1903"/>
    <cellStyle name="Группа 6" xfId="1904"/>
    <cellStyle name="Группа 7" xfId="1905"/>
    <cellStyle name="Группа 8" xfId="1906"/>
    <cellStyle name="Группа_" xfId="1907"/>
    <cellStyle name="Группа0 0" xfId="1908"/>
    <cellStyle name="Группа0 1" xfId="1909"/>
    <cellStyle name="Группа0 2" xfId="1910"/>
    <cellStyle name="Дата" xfId="1911"/>
    <cellStyle name="Дата UTL" xfId="1912"/>
    <cellStyle name="Дата_Audit Com_9m05_2" xfId="1913"/>
    <cellStyle name="Денежный 2" xfId="1914"/>
    <cellStyle name="Денежный 2 2" xfId="1915"/>
    <cellStyle name="Денежный 2 3" xfId="1916"/>
    <cellStyle name="Дштлув" xfId="1917"/>
    <cellStyle name="ЄЄЄ_x0004_ЄЄ" xfId="1918"/>
    <cellStyle name="Заголовок" xfId="1919"/>
    <cellStyle name="Заголовок 1 2" xfId="1920"/>
    <cellStyle name="Заголовок 1 3" xfId="1921"/>
    <cellStyle name="Заголовок 1 4" xfId="1922"/>
    <cellStyle name="Заголовок 2 2" xfId="1923"/>
    <cellStyle name="Заголовок 2 3" xfId="1924"/>
    <cellStyle name="Заголовок 2 4" xfId="1925"/>
    <cellStyle name="Заголовок 3 2" xfId="1926"/>
    <cellStyle name="Заголовок 3 3" xfId="1927"/>
    <cellStyle name="Заголовок 3 4" xfId="1928"/>
    <cellStyle name="Заголовок 4 2" xfId="1929"/>
    <cellStyle name="Заголовок 4 3" xfId="1930"/>
    <cellStyle name="Заголовок 5" xfId="1931"/>
    <cellStyle name="ЗаголовокСтолбца" xfId="1932"/>
    <cellStyle name="Защитный" xfId="1933"/>
    <cellStyle name="Значение" xfId="1934"/>
    <cellStyle name="Итог 2" xfId="1935"/>
    <cellStyle name="Итог 3" xfId="1936"/>
    <cellStyle name="Итог 4" xfId="1937"/>
    <cellStyle name="Итого" xfId="1938"/>
    <cellStyle name="Количество" xfId="1939"/>
    <cellStyle name="Контрольная ячейка 2" xfId="1940"/>
    <cellStyle name="Контрольная ячейка 3" xfId="1941"/>
    <cellStyle name="Мои наименования показателей" xfId="1946"/>
    <cellStyle name="Мой заголовок" xfId="1942"/>
    <cellStyle name="Мой заголовок листа" xfId="1943"/>
    <cellStyle name="Мой заголовок листа 2" xfId="1944"/>
    <cellStyle name="Мой заголовок_06_CЗТЭЦ_ожид на 15.12" xfId="1945"/>
    <cellStyle name="Название 2" xfId="1947"/>
    <cellStyle name="Название 3" xfId="1948"/>
    <cellStyle name="Название 4" xfId="1949"/>
    <cellStyle name="Невидимый" xfId="1950"/>
    <cellStyle name="Нейтральный 2" xfId="1951"/>
    <cellStyle name="Нейтральный 3" xfId="1952"/>
    <cellStyle name="Низ1" xfId="1953"/>
    <cellStyle name="Низ2" xfId="1954"/>
    <cellStyle name="Обычный" xfId="0" builtinId="0"/>
    <cellStyle name="Обычный 10" xfId="1955"/>
    <cellStyle name="Обычный 11" xfId="1956"/>
    <cellStyle name="Обычный 12" xfId="1957"/>
    <cellStyle name="Обычный 13" xfId="1958"/>
    <cellStyle name="Обычный 14" xfId="1959"/>
    <cellStyle name="Обычный 15" xfId="1960"/>
    <cellStyle name="Обычный 16" xfId="1961"/>
    <cellStyle name="Обычный 17" xfId="1962"/>
    <cellStyle name="Обычный 18" xfId="1963"/>
    <cellStyle name="Обычный 19" xfId="1964"/>
    <cellStyle name="Обычный 2" xfId="1"/>
    <cellStyle name="Обычный 2 10" xfId="1965"/>
    <cellStyle name="Обычный 2 11" xfId="1966"/>
    <cellStyle name="Обычный 2 12" xfId="1967"/>
    <cellStyle name="Обычный 2 13" xfId="1968"/>
    <cellStyle name="Обычный 2 2" xfId="1969"/>
    <cellStyle name="Обычный 2 2 10" xfId="1970"/>
    <cellStyle name="Обычный 2 2 11" xfId="1971"/>
    <cellStyle name="Обычный 2 2 12" xfId="1972"/>
    <cellStyle name="Обычный 2 2 13" xfId="1973"/>
    <cellStyle name="Обычный 2 2 2" xfId="1974"/>
    <cellStyle name="Обычный 2 2 3" xfId="1975"/>
    <cellStyle name="Обычный 2 2 4" xfId="1976"/>
    <cellStyle name="Обычный 2 2 5" xfId="1977"/>
    <cellStyle name="Обычный 2 2 6" xfId="1978"/>
    <cellStyle name="Обычный 2 2 7" xfId="1979"/>
    <cellStyle name="Обычный 2 2 8" xfId="1980"/>
    <cellStyle name="Обычный 2 2 9" xfId="1981"/>
    <cellStyle name="Обычный 2 3" xfId="1982"/>
    <cellStyle name="Обычный 2 3 2" xfId="1983"/>
    <cellStyle name="Обычный 2 4" xfId="1984"/>
    <cellStyle name="Обычный 2 4 2" xfId="1985"/>
    <cellStyle name="Обычный 2 5" xfId="1986"/>
    <cellStyle name="Обычный 2 6" xfId="1987"/>
    <cellStyle name="Обычный 2 7" xfId="1988"/>
    <cellStyle name="Обычный 2 8" xfId="1989"/>
    <cellStyle name="Обычный 2 9" xfId="1990"/>
    <cellStyle name="Обычный 2_Scenario_Group_2011" xfId="1991"/>
    <cellStyle name="Обычный 20" xfId="1992"/>
    <cellStyle name="Обычный 21" xfId="1993"/>
    <cellStyle name="Обычный 22" xfId="1994"/>
    <cellStyle name="Обычный 23" xfId="1995"/>
    <cellStyle name="Обычный 24" xfId="1996"/>
    <cellStyle name="Обычный 25" xfId="1997"/>
    <cellStyle name="Обычный 26" xfId="1998"/>
    <cellStyle name="Обычный 27" xfId="1999"/>
    <cellStyle name="Обычный 27 2" xfId="2000"/>
    <cellStyle name="Обычный 28" xfId="2001"/>
    <cellStyle name="Обычный 28 2" xfId="2002"/>
    <cellStyle name="Обычный 29" xfId="2003"/>
    <cellStyle name="Обычный 3" xfId="2004"/>
    <cellStyle name="Обычный 3 10" xfId="2005"/>
    <cellStyle name="Обычный 3 11" xfId="2006"/>
    <cellStyle name="Обычный 3 12" xfId="2007"/>
    <cellStyle name="Обычный 3 13" xfId="2008"/>
    <cellStyle name="Обычный 3 2" xfId="2009"/>
    <cellStyle name="Обычный 3 2 10" xfId="2010"/>
    <cellStyle name="Обычный 3 2 11" xfId="2011"/>
    <cellStyle name="Обычный 3 2 2" xfId="2012"/>
    <cellStyle name="Обычный 3 2 3" xfId="2013"/>
    <cellStyle name="Обычный 3 2 4" xfId="2014"/>
    <cellStyle name="Обычный 3 2 5" xfId="2015"/>
    <cellStyle name="Обычный 3 2 6" xfId="2016"/>
    <cellStyle name="Обычный 3 2 7" xfId="2017"/>
    <cellStyle name="Обычный 3 2 8" xfId="2018"/>
    <cellStyle name="Обычный 3 2 9" xfId="2019"/>
    <cellStyle name="Обычный 3 3" xfId="2020"/>
    <cellStyle name="Обычный 3 4" xfId="2021"/>
    <cellStyle name="Обычный 3 5" xfId="2022"/>
    <cellStyle name="Обычный 3 6" xfId="2023"/>
    <cellStyle name="Обычный 3 7" xfId="2024"/>
    <cellStyle name="Обычный 3 8" xfId="2025"/>
    <cellStyle name="Обычный 3 9" xfId="2026"/>
    <cellStyle name="Обычный 3_TheModel 23.03.2011 (филиалы+ОГК3)" xfId="2027"/>
    <cellStyle name="Обычный 30" xfId="2028"/>
    <cellStyle name="Обычный 31" xfId="2029"/>
    <cellStyle name="Обычный 32" xfId="2030"/>
    <cellStyle name="Обычный 33" xfId="2031"/>
    <cellStyle name="Обычный 34" xfId="2032"/>
    <cellStyle name="Обычный 35" xfId="2033"/>
    <cellStyle name="Обычный 36" xfId="2034"/>
    <cellStyle name="Обычный 37" xfId="2035"/>
    <cellStyle name="Обычный 38" xfId="2036"/>
    <cellStyle name="Обычный 39" xfId="2037"/>
    <cellStyle name="Обычный 4" xfId="2038"/>
    <cellStyle name="Обычный 4 10" xfId="2039"/>
    <cellStyle name="Обычный 4 11" xfId="2040"/>
    <cellStyle name="Обычный 4 12" xfId="2041"/>
    <cellStyle name="Обычный 4 2" xfId="2042"/>
    <cellStyle name="Обычный 4 3" xfId="2043"/>
    <cellStyle name="Обычный 4 4" xfId="2044"/>
    <cellStyle name="Обычный 4 5" xfId="2045"/>
    <cellStyle name="Обычный 4 6" xfId="2046"/>
    <cellStyle name="Обычный 4 7" xfId="2047"/>
    <cellStyle name="Обычный 4 8" xfId="2048"/>
    <cellStyle name="Обычный 4 9" xfId="2049"/>
    <cellStyle name="Обычный 4_Copy of Финмодель ИРАО 12.05.2010 БП" xfId="2050"/>
    <cellStyle name="Обычный 40" xfId="2051"/>
    <cellStyle name="Обычный 41" xfId="2052"/>
    <cellStyle name="Обычный 42" xfId="2053"/>
    <cellStyle name="Обычный 43" xfId="2054"/>
    <cellStyle name="Обычный 44" xfId="2055"/>
    <cellStyle name="Обычный 45" xfId="2056"/>
    <cellStyle name="Обычный 46" xfId="2057"/>
    <cellStyle name="Обычный 47" xfId="2058"/>
    <cellStyle name="Обычный 48" xfId="2059"/>
    <cellStyle name="Обычный 49" xfId="2060"/>
    <cellStyle name="Обычный 5" xfId="2061"/>
    <cellStyle name="Обычный 5 10" xfId="2062"/>
    <cellStyle name="Обычный 5 11" xfId="2063"/>
    <cellStyle name="Обычный 5 12" xfId="2064"/>
    <cellStyle name="Обычный 5 13" xfId="2065"/>
    <cellStyle name="Обычный 5 2" xfId="2066"/>
    <cellStyle name="Обычный 5 2 10" xfId="2067"/>
    <cellStyle name="Обычный 5 2 11" xfId="2068"/>
    <cellStyle name="Обычный 5 2 2" xfId="2069"/>
    <cellStyle name="Обычный 5 2 3" xfId="2070"/>
    <cellStyle name="Обычный 5 2 4" xfId="2071"/>
    <cellStyle name="Обычный 5 2 5" xfId="2072"/>
    <cellStyle name="Обычный 5 2 6" xfId="2073"/>
    <cellStyle name="Обычный 5 2 7" xfId="2074"/>
    <cellStyle name="Обычный 5 2 8" xfId="2075"/>
    <cellStyle name="Обычный 5 2 9" xfId="2076"/>
    <cellStyle name="Обычный 5 3" xfId="2077"/>
    <cellStyle name="Обычный 5 4" xfId="2078"/>
    <cellStyle name="Обычный 5 5" xfId="2079"/>
    <cellStyle name="Обычный 5 6" xfId="2080"/>
    <cellStyle name="Обычный 5 7" xfId="2081"/>
    <cellStyle name="Обычный 5 8" xfId="2082"/>
    <cellStyle name="Обычный 5 9" xfId="2083"/>
    <cellStyle name="Обычный 50" xfId="2084"/>
    <cellStyle name="Обычный 51" xfId="2085"/>
    <cellStyle name="Обычный 52" xfId="2086"/>
    <cellStyle name="Обычный 53" xfId="2087"/>
    <cellStyle name="Обычный 54" xfId="2088"/>
    <cellStyle name="Обычный 55" xfId="2089"/>
    <cellStyle name="Обычный 56" xfId="2090"/>
    <cellStyle name="Обычный 57" xfId="2091"/>
    <cellStyle name="Обычный 58" xfId="2092"/>
    <cellStyle name="Обычный 59" xfId="2093"/>
    <cellStyle name="Обычный 6" xfId="2094"/>
    <cellStyle name="Обычный 6 2" xfId="2095"/>
    <cellStyle name="Обычный 60" xfId="2096"/>
    <cellStyle name="Обычный 61" xfId="2097"/>
    <cellStyle name="Обычный 62" xfId="2098"/>
    <cellStyle name="Обычный 63" xfId="2099"/>
    <cellStyle name="Обычный 64" xfId="2100"/>
    <cellStyle name="Обычный 65" xfId="2101"/>
    <cellStyle name="Обычный 66" xfId="2102"/>
    <cellStyle name="Обычный 67" xfId="2103"/>
    <cellStyle name="Обычный 68" xfId="2104"/>
    <cellStyle name="Обычный 7" xfId="2105"/>
    <cellStyle name="Обычный 8" xfId="2106"/>
    <cellStyle name="Обычный 9" xfId="2107"/>
    <cellStyle name="План" xfId="2108"/>
    <cellStyle name="Плохой 2" xfId="2109"/>
    <cellStyle name="Плохой 3" xfId="2110"/>
    <cellStyle name="Подгруппа" xfId="2111"/>
    <cellStyle name="Поле ввода" xfId="2112"/>
    <cellStyle name="Пояснение 2" xfId="2113"/>
    <cellStyle name="Пояснение 3" xfId="2114"/>
    <cellStyle name="Примечание 2" xfId="2115"/>
    <cellStyle name="Примечание 3" xfId="2116"/>
    <cellStyle name="Примечание 4" xfId="2117"/>
    <cellStyle name="Примечание 5" xfId="2118"/>
    <cellStyle name="Продукт" xfId="2119"/>
    <cellStyle name="Процент_11п" xfId="2120"/>
    <cellStyle name="Процентный 2" xfId="212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2" xfId="2126"/>
    <cellStyle name="Процентный 2 2 2" xfId="2127"/>
    <cellStyle name="Процентный 2 2 2 2" xfId="2128"/>
    <cellStyle name="Процентный 2 3" xfId="2129"/>
    <cellStyle name="Процентный 2 4" xfId="2130"/>
    <cellStyle name="Процентный 2 5" xfId="2131"/>
    <cellStyle name="Процентный 2 6" xfId="2132"/>
    <cellStyle name="Процентный 2 7" xfId="2133"/>
    <cellStyle name="Процентный 2 8" xfId="2134"/>
    <cellStyle name="Процентный 2 9" xfId="2135"/>
    <cellStyle name="Процентный 3" xfId="2136"/>
    <cellStyle name="Процентный 3 2" xfId="2137"/>
    <cellStyle name="Процентный 4" xfId="2138"/>
    <cellStyle name="Процентный 4 2" xfId="2139"/>
    <cellStyle name="Процентный 4 2 2" xfId="2140"/>
    <cellStyle name="Процентный 5" xfId="2141"/>
    <cellStyle name="Процентный 5 2" xfId="2142"/>
    <cellStyle name="Процентный 6" xfId="2143"/>
    <cellStyle name="Процентный 7" xfId="2144"/>
    <cellStyle name="Процентный 8" xfId="2145"/>
    <cellStyle name="Разница" xfId="2146"/>
    <cellStyle name="Сводная таблица" xfId="2147"/>
    <cellStyle name="Связанная ячейка 2" xfId="2148"/>
    <cellStyle name="Связанная ячейка 3" xfId="2149"/>
    <cellStyle name="смр" xfId="2150"/>
    <cellStyle name="Стиль 1" xfId="2151"/>
    <cellStyle name="Стиль 1 2" xfId="2152"/>
    <cellStyle name="Стиль 2" xfId="2153"/>
    <cellStyle name="Стиль ПЭО" xfId="2154"/>
    <cellStyle name="Субсчет" xfId="2155"/>
    <cellStyle name="Счет" xfId="2156"/>
    <cellStyle name="ТЕКСТ" xfId="2157"/>
    <cellStyle name="Текст предупреждения 2" xfId="2158"/>
    <cellStyle name="Текст предупреждения 3" xfId="2159"/>
    <cellStyle name="Текстовый" xfId="2160"/>
    <cellStyle name="Тень" xfId="2161"/>
    <cellStyle name="тонны" xfId="2162"/>
    <cellStyle name="Тысячи [0]_01.01.98" xfId="2163"/>
    <cellStyle name="Тысячи [а]" xfId="2164"/>
    <cellStyle name="Тысячи![0]_Цены 95г._Расчет ТП на февраль_Расчет ТП на февраль посл.._Расчет ТП на май" xfId="2165"/>
    <cellStyle name="Тысячи_01.01.98" xfId="2166"/>
    <cellStyle name="уe0" xfId="2167"/>
    <cellStyle name="Финансовый 2" xfId="2168"/>
    <cellStyle name="Финансовый 2 10" xfId="2169"/>
    <cellStyle name="Финансовый 2 11" xfId="2170"/>
    <cellStyle name="Финансовый 2 12" xfId="2171"/>
    <cellStyle name="Финансовый 2 13" xfId="2172"/>
    <cellStyle name="Финансовый 2 2" xfId="2173"/>
    <cellStyle name="Финансовый 2 3" xfId="2174"/>
    <cellStyle name="Финансовый 2 4" xfId="2175"/>
    <cellStyle name="Финансовый 2 5" xfId="2176"/>
    <cellStyle name="Финансовый 2 6" xfId="2177"/>
    <cellStyle name="Финансовый 2 7" xfId="2178"/>
    <cellStyle name="Финансовый 2 8" xfId="2179"/>
    <cellStyle name="Финансовый 2 9" xfId="2180"/>
    <cellStyle name="Финансовый 3" xfId="2181"/>
    <cellStyle name="Финансовый 3 2" xfId="2182"/>
    <cellStyle name="Финансовый 3 3" xfId="2183"/>
    <cellStyle name="Финансовый 3 4" xfId="2184"/>
    <cellStyle name="Финансовый 3_TheModel_30_2012" xfId="2185"/>
    <cellStyle name="Финансовый 4" xfId="2186"/>
    <cellStyle name="Финансовый 4 10" xfId="2187"/>
    <cellStyle name="Финансовый 4 11" xfId="2188"/>
    <cellStyle name="Финансовый 4 12" xfId="2189"/>
    <cellStyle name="Финансовый 4 2" xfId="2190"/>
    <cellStyle name="Финансовый 4 3" xfId="2191"/>
    <cellStyle name="Финансовый 4 4" xfId="2192"/>
    <cellStyle name="Финансовый 4 5" xfId="2193"/>
    <cellStyle name="Финансовый 4 6" xfId="2194"/>
    <cellStyle name="Финансовый 4 7" xfId="2195"/>
    <cellStyle name="Финансовый 4 8" xfId="2196"/>
    <cellStyle name="Финансовый 4 9" xfId="2197"/>
    <cellStyle name="Финансовый 5" xfId="2198"/>
    <cellStyle name="Финансовый 6" xfId="2199"/>
    <cellStyle name="Финансовый 7" xfId="2200"/>
    <cellStyle name="Финансовый 8" xfId="2201"/>
    <cellStyle name="Финансовый 9" xfId="2202"/>
    <cellStyle name="Финансовый0[0]_FU_bal" xfId="2203"/>
    <cellStyle name="ФинУпр" xfId="2204"/>
    <cellStyle name="ФинУпр [0]" xfId="2205"/>
    <cellStyle name="Формула" xfId="2206"/>
    <cellStyle name="ФормулаВБ" xfId="2207"/>
    <cellStyle name="ФормулаНаКонтроль" xfId="2208"/>
    <cellStyle name="Хороший 2" xfId="2209"/>
    <cellStyle name="Хороший 3" xfId="2210"/>
    <cellStyle name="Цена_продукта" xfId="2211"/>
    <cellStyle name="Џђћ–…ќ’ќ›‰" xfId="2212"/>
    <cellStyle name="Шапка" xfId="2213"/>
    <cellStyle name="ШАУ" xfId="2214"/>
    <cellStyle name="Шт" xfId="2215"/>
    <cellStyle name="桁区切り 2" xfId="2216"/>
    <cellStyle name="標準 2" xfId="2217"/>
    <cellStyle name="標準 3" xfId="2218"/>
    <cellStyle name="標準_PL-CF sheet" xfId="2219"/>
    <cellStyle name="㼿㼿㼿㼿㼿㼿㼿㼿㼿?" xfId="2220"/>
    <cellStyle name="䁺_x0001_" xfId="2221"/>
    <cellStyle name="䁺_x0001_ 2" xfId="2222"/>
    <cellStyle name="䁺_x0001_ 3" xfId="2223"/>
    <cellStyle name="䁺_x0001__Анализ индикаторов на обесценение ИРРАО" xfId="222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&#1050;&#1055;%20&#1050;&#1072;&#1090;&#1077;&#1075;&#1086;&#1088;&#1080;&#1079;&#1072;&#1094;&#1080;&#1103;\2.&#1056;_001_&#1050;&#1055;_&#1050;&#1048;&#1048;%20&#1062;&#1041;&#1044;_2025.pdf" TargetMode="External"/><Relationship Id="rId7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2.&#1050;&#1055;%20&#1089;&#1080;&#1075;&#1085;&#1072;&#1083;&#1080;&#1079;&#1072;&#1094;&#1080;&#1103;\3.&#1056;_001_&#1050;&#1055;_3_2025.pdf" TargetMode="External"/><Relationship Id="rId2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&#1050;&#1055;%20&#1050;&#1072;&#1090;&#1077;&#1075;&#1086;&#1088;&#1080;&#1079;&#1072;&#1094;&#1080;&#1103;\3.&#1056;_001_&#1050;&#1055;%20&#1050;&#1048;&#1048;_2025.pdf" TargetMode="External"/><Relationship Id="rId1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&#1050;&#1055;%20&#1050;&#1072;&#1090;&#1077;&#1075;&#1086;&#1088;&#1080;&#1079;&#1072;&#1094;&#1080;&#1103;\1.&#1056;_001_&#1050;&#1055;_&#1050;&#1048;&#1048;_2025.pdf" TargetMode="External"/><Relationship Id="rId6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2.&#1050;&#1055;%20&#1089;&#1080;&#1075;&#1085;&#1072;&#1083;&#1080;&#1079;&#1072;&#1094;&#1080;&#1103;\1.&#1056;_001_&#1050;&#1055;_1_2025.pdf" TargetMode="External"/><Relationship Id="rId5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2.&#1050;&#1055;%20&#1089;&#1080;&#1075;&#1085;&#1072;&#1083;&#1080;&#1079;&#1072;&#1094;&#1080;&#1103;\2.&#1056;_001_&#1050;&#1055;_2_2025.pdf" TargetMode="External"/><Relationship Id="rId4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3.&#1051;&#1057;&#1056;\&#1056;_001_&#1051;&#1057;&#1056;_&#1089;&#1080;&#1075;&#1085;&#1072;&#1083;&#1080;&#1079;&#1058;&#1055;_2025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9"/>
  <sheetViews>
    <sheetView tabSelected="1" topLeftCell="A98" zoomScaleNormal="100" zoomScaleSheetLayoutView="90" workbookViewId="0">
      <selection activeCell="F120" sqref="F120"/>
    </sheetView>
  </sheetViews>
  <sheetFormatPr defaultRowHeight="15.75" outlineLevelCol="1"/>
  <cols>
    <col min="1" max="1" width="4.5703125" style="12" customWidth="1"/>
    <col min="2" max="2" width="10.140625" style="12" customWidth="1"/>
    <col min="3" max="3" width="35.140625" style="12" customWidth="1"/>
    <col min="4" max="5" width="20.140625" style="12" customWidth="1"/>
    <col min="6" max="6" width="23.140625" style="12" customWidth="1"/>
    <col min="7" max="8" width="20.140625" style="12" hidden="1" customWidth="1"/>
    <col min="9" max="10" width="16.7109375" style="12" customWidth="1"/>
    <col min="11" max="11" width="10.7109375" style="12" customWidth="1"/>
    <col min="12" max="12" width="12.7109375" style="12" customWidth="1"/>
    <col min="13" max="13" width="11.140625" style="12" customWidth="1" outlineLevel="1"/>
    <col min="14" max="14" width="15.28515625" style="12" customWidth="1"/>
    <col min="15" max="15" width="14.85546875" style="12" customWidth="1"/>
    <col min="16" max="16" width="14.85546875" style="12" hidden="1" customWidth="1" outlineLevel="1"/>
    <col min="17" max="17" width="14.5703125" style="12" customWidth="1" collapsed="1"/>
    <col min="18" max="18" width="13.85546875" style="12" customWidth="1"/>
    <col min="19" max="19" width="13.85546875" style="12" hidden="1" customWidth="1" outlineLevel="1"/>
    <col min="20" max="20" width="13.85546875" style="12" customWidth="1" collapsed="1"/>
    <col min="21" max="21" width="13.85546875" style="12" customWidth="1"/>
    <col min="22" max="22" width="13.85546875" style="12" hidden="1" customWidth="1" outlineLevel="1"/>
    <col min="23" max="23" width="14.7109375" style="12" customWidth="1" collapsed="1"/>
    <col min="24" max="24" width="13" style="12" customWidth="1"/>
    <col min="25" max="25" width="13" style="12" hidden="1" customWidth="1" outlineLevel="1"/>
    <col min="26" max="26" width="15.140625" style="12" customWidth="1" collapsed="1"/>
    <col min="27" max="27" width="12.42578125" style="12" customWidth="1"/>
    <col min="28" max="28" width="12.42578125" style="12" hidden="1" customWidth="1" outlineLevel="1"/>
    <col min="29" max="29" width="9.140625" style="12" collapsed="1"/>
    <col min="30" max="16384" width="9.140625" style="12"/>
  </cols>
  <sheetData>
    <row r="1" spans="1:28" ht="33" hidden="1" customHeight="1">
      <c r="A1" s="160" t="s">
        <v>68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1"/>
    </row>
    <row r="2" spans="1:28" ht="24" hidden="1" customHeight="1">
      <c r="A2" s="161" t="s">
        <v>66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3"/>
    </row>
    <row r="3" spans="1:28" ht="24.75" hidden="1" customHeight="1">
      <c r="A3" s="13"/>
      <c r="B3" s="13"/>
      <c r="C3" s="13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</row>
    <row r="4" spans="1:28" ht="61.5" hidden="1" customHeight="1">
      <c r="A4" s="151" t="s">
        <v>2</v>
      </c>
      <c r="B4" s="151" t="s">
        <v>76</v>
      </c>
      <c r="C4" s="151" t="s">
        <v>3</v>
      </c>
      <c r="D4" s="107"/>
      <c r="E4" s="135" t="s">
        <v>9</v>
      </c>
      <c r="F4" s="153"/>
      <c r="G4" s="153"/>
      <c r="H4" s="153"/>
      <c r="I4" s="154"/>
      <c r="J4" s="135" t="s">
        <v>10</v>
      </c>
      <c r="K4" s="154"/>
      <c r="L4" s="151" t="s">
        <v>50</v>
      </c>
      <c r="M4" s="151" t="s">
        <v>51</v>
      </c>
      <c r="N4" s="155" t="s">
        <v>53</v>
      </c>
      <c r="O4" s="151" t="s">
        <v>4</v>
      </c>
      <c r="P4" s="151" t="s">
        <v>52</v>
      </c>
      <c r="Q4" s="155" t="s">
        <v>54</v>
      </c>
      <c r="R4" s="151" t="s">
        <v>55</v>
      </c>
      <c r="S4" s="151" t="s">
        <v>62</v>
      </c>
      <c r="T4" s="155" t="s">
        <v>56</v>
      </c>
      <c r="U4" s="151" t="s">
        <v>57</v>
      </c>
      <c r="V4" s="151" t="s">
        <v>63</v>
      </c>
      <c r="W4" s="155" t="s">
        <v>58</v>
      </c>
      <c r="X4" s="151" t="s">
        <v>59</v>
      </c>
      <c r="Y4" s="151" t="s">
        <v>64</v>
      </c>
      <c r="Z4" s="155" t="s">
        <v>60</v>
      </c>
      <c r="AA4" s="151" t="s">
        <v>61</v>
      </c>
      <c r="AB4" s="155" t="s">
        <v>65</v>
      </c>
    </row>
    <row r="5" spans="1:28" ht="144" hidden="1" customHeight="1">
      <c r="A5" s="152"/>
      <c r="B5" s="152"/>
      <c r="C5" s="152"/>
      <c r="D5" s="153"/>
      <c r="E5" s="153"/>
      <c r="F5" s="153"/>
      <c r="G5" s="153"/>
      <c r="H5" s="153"/>
      <c r="I5" s="153"/>
      <c r="J5" s="153"/>
      <c r="K5" s="154"/>
      <c r="L5" s="152"/>
      <c r="M5" s="152"/>
      <c r="N5" s="156"/>
      <c r="O5" s="152"/>
      <c r="P5" s="152"/>
      <c r="Q5" s="156"/>
      <c r="R5" s="152"/>
      <c r="S5" s="152"/>
      <c r="T5" s="156"/>
      <c r="U5" s="152"/>
      <c r="V5" s="152"/>
      <c r="W5" s="156"/>
      <c r="X5" s="152"/>
      <c r="Y5" s="152"/>
      <c r="Z5" s="156"/>
      <c r="AA5" s="152"/>
      <c r="AB5" s="156"/>
    </row>
    <row r="6" spans="1:28" ht="189" hidden="1" customHeight="1">
      <c r="A6" s="15">
        <v>1</v>
      </c>
      <c r="B6" s="1" t="s">
        <v>0</v>
      </c>
      <c r="C6" s="5" t="s">
        <v>23</v>
      </c>
      <c r="D6" s="106"/>
      <c r="E6" s="146">
        <f>592299/1.2</f>
        <v>493582.5</v>
      </c>
      <c r="F6" s="146"/>
      <c r="G6" s="146"/>
      <c r="H6" s="146"/>
      <c r="I6" s="146"/>
      <c r="J6" s="146">
        <f>588522/1.2</f>
        <v>490435</v>
      </c>
      <c r="K6" s="146"/>
      <c r="L6" s="2" t="e">
        <f>(#REF!+E6+J6)/3/1000</f>
        <v>#REF!</v>
      </c>
      <c r="M6" s="2" t="e">
        <f>L6*1.2</f>
        <v>#REF!</v>
      </c>
      <c r="N6" s="1">
        <v>1.04</v>
      </c>
      <c r="O6" s="3" t="e">
        <f t="shared" ref="O6:O18" si="0">L6*N6</f>
        <v>#REF!</v>
      </c>
      <c r="P6" s="3" t="e">
        <f>O6*1.2</f>
        <v>#REF!</v>
      </c>
      <c r="Q6" s="2">
        <f>N6</f>
        <v>1.04</v>
      </c>
      <c r="R6" s="2" t="e">
        <f>O6*Q6</f>
        <v>#REF!</v>
      </c>
      <c r="S6" s="2" t="e">
        <f>R6*1.2</f>
        <v>#REF!</v>
      </c>
      <c r="T6" s="2">
        <f>Q6</f>
        <v>1.04</v>
      </c>
      <c r="U6" s="2" t="e">
        <f t="shared" ref="U6:U18" si="1">R6*T6</f>
        <v>#REF!</v>
      </c>
      <c r="V6" s="2" t="e">
        <f>U6*1.2</f>
        <v>#REF!</v>
      </c>
      <c r="W6" s="2">
        <f t="shared" ref="W6:W18" si="2">T6</f>
        <v>1.04</v>
      </c>
      <c r="X6" s="2" t="e">
        <f>U6*W6</f>
        <v>#REF!</v>
      </c>
      <c r="Y6" s="2" t="e">
        <f>X6*1.2</f>
        <v>#REF!</v>
      </c>
      <c r="Z6" s="2">
        <f>W6</f>
        <v>1.04</v>
      </c>
      <c r="AA6" s="2" t="e">
        <f>X6*Z6</f>
        <v>#REF!</v>
      </c>
      <c r="AB6" s="2" t="e">
        <f>AA6*1.2</f>
        <v>#REF!</v>
      </c>
    </row>
    <row r="7" spans="1:28" ht="99.75" hidden="1" customHeight="1">
      <c r="A7" s="15">
        <v>2</v>
      </c>
      <c r="B7" s="1" t="s">
        <v>24</v>
      </c>
      <c r="C7" s="16" t="s">
        <v>67</v>
      </c>
      <c r="D7" s="106"/>
      <c r="E7" s="146">
        <f>105050/1.2</f>
        <v>87541.666666666672</v>
      </c>
      <c r="F7" s="146"/>
      <c r="G7" s="146"/>
      <c r="H7" s="146"/>
      <c r="I7" s="146"/>
      <c r="J7" s="146">
        <f>98890/1.2</f>
        <v>82408.333333333343</v>
      </c>
      <c r="K7" s="146"/>
      <c r="L7" s="2" t="e">
        <f>(#REF!+E7+J7)/3/1000</f>
        <v>#REF!</v>
      </c>
      <c r="M7" s="2" t="e">
        <f t="shared" ref="M7:M18" si="3">L7*1.2</f>
        <v>#REF!</v>
      </c>
      <c r="N7" s="1">
        <v>1.04</v>
      </c>
      <c r="O7" s="3" t="e">
        <f t="shared" si="0"/>
        <v>#REF!</v>
      </c>
      <c r="P7" s="3" t="e">
        <f t="shared" ref="P7:P18" si="4">O7*1.2</f>
        <v>#REF!</v>
      </c>
      <c r="Q7" s="2">
        <f t="shared" ref="Q7:Q18" si="5">N7</f>
        <v>1.04</v>
      </c>
      <c r="R7" s="2" t="e">
        <f t="shared" ref="R7:R18" si="6">O7*Q7</f>
        <v>#REF!</v>
      </c>
      <c r="S7" s="2" t="e">
        <f t="shared" ref="S7:S18" si="7">R7*1.2</f>
        <v>#REF!</v>
      </c>
      <c r="T7" s="2">
        <f t="shared" ref="T7:T18" si="8">Q7</f>
        <v>1.04</v>
      </c>
      <c r="U7" s="2" t="e">
        <f t="shared" si="1"/>
        <v>#REF!</v>
      </c>
      <c r="V7" s="2" t="e">
        <f t="shared" ref="V7:V18" si="9">U7*1.2</f>
        <v>#REF!</v>
      </c>
      <c r="W7" s="2">
        <f t="shared" si="2"/>
        <v>1.04</v>
      </c>
      <c r="X7" s="2" t="e">
        <f t="shared" ref="X7:X18" si="10">U7*W7</f>
        <v>#REF!</v>
      </c>
      <c r="Y7" s="2" t="e">
        <f t="shared" ref="Y7:Y18" si="11">X7*1.2</f>
        <v>#REF!</v>
      </c>
      <c r="Z7" s="2">
        <f t="shared" ref="Z7:Z18" si="12">W7</f>
        <v>1.04</v>
      </c>
      <c r="AA7" s="2" t="e">
        <f t="shared" ref="AA7:AA18" si="13">X7*Z7</f>
        <v>#REF!</v>
      </c>
      <c r="AB7" s="2" t="e">
        <f t="shared" ref="AB7:AB18" si="14">AA7*1.2</f>
        <v>#REF!</v>
      </c>
    </row>
    <row r="8" spans="1:28" ht="84" hidden="1" customHeight="1">
      <c r="A8" s="15">
        <v>3</v>
      </c>
      <c r="B8" s="1" t="s">
        <v>25</v>
      </c>
      <c r="C8" s="17" t="s">
        <v>26</v>
      </c>
      <c r="D8" s="106"/>
      <c r="E8" s="146">
        <f>25023/1.2</f>
        <v>20852.5</v>
      </c>
      <c r="F8" s="146"/>
      <c r="G8" s="146"/>
      <c r="H8" s="146"/>
      <c r="I8" s="146"/>
      <c r="J8" s="146">
        <f>26039/1.2</f>
        <v>21699.166666666668</v>
      </c>
      <c r="K8" s="146"/>
      <c r="L8" s="2" t="e">
        <f>(#REF!+E8+J8)/3/1000</f>
        <v>#REF!</v>
      </c>
      <c r="M8" s="2" t="e">
        <f t="shared" si="3"/>
        <v>#REF!</v>
      </c>
      <c r="N8" s="1">
        <v>1.04</v>
      </c>
      <c r="O8" s="3" t="e">
        <f t="shared" si="0"/>
        <v>#REF!</v>
      </c>
      <c r="P8" s="3" t="e">
        <f t="shared" si="4"/>
        <v>#REF!</v>
      </c>
      <c r="Q8" s="2">
        <f t="shared" si="5"/>
        <v>1.04</v>
      </c>
      <c r="R8" s="2" t="e">
        <f t="shared" si="6"/>
        <v>#REF!</v>
      </c>
      <c r="S8" s="2" t="e">
        <f t="shared" si="7"/>
        <v>#REF!</v>
      </c>
      <c r="T8" s="2">
        <f t="shared" si="8"/>
        <v>1.04</v>
      </c>
      <c r="U8" s="2" t="e">
        <f t="shared" si="1"/>
        <v>#REF!</v>
      </c>
      <c r="V8" s="2" t="e">
        <f t="shared" si="9"/>
        <v>#REF!</v>
      </c>
      <c r="W8" s="2">
        <f t="shared" si="2"/>
        <v>1.04</v>
      </c>
      <c r="X8" s="2" t="e">
        <f t="shared" si="10"/>
        <v>#REF!</v>
      </c>
      <c r="Y8" s="2" t="e">
        <f t="shared" si="11"/>
        <v>#REF!</v>
      </c>
      <c r="Z8" s="2">
        <f t="shared" si="12"/>
        <v>1.04</v>
      </c>
      <c r="AA8" s="2" t="e">
        <f t="shared" si="13"/>
        <v>#REF!</v>
      </c>
      <c r="AB8" s="2" t="e">
        <f t="shared" si="14"/>
        <v>#REF!</v>
      </c>
    </row>
    <row r="9" spans="1:28" ht="82.5" hidden="1" customHeight="1">
      <c r="A9" s="15">
        <v>4</v>
      </c>
      <c r="B9" s="1" t="s">
        <v>27</v>
      </c>
      <c r="C9" s="17" t="s">
        <v>28</v>
      </c>
      <c r="D9" s="106"/>
      <c r="E9" s="146">
        <f>24494/1.2</f>
        <v>20411.666666666668</v>
      </c>
      <c r="F9" s="146"/>
      <c r="G9" s="146"/>
      <c r="H9" s="146"/>
      <c r="I9" s="146"/>
      <c r="J9" s="146">
        <f>26500/1.2</f>
        <v>22083.333333333336</v>
      </c>
      <c r="K9" s="146"/>
      <c r="L9" s="2" t="e">
        <f>(#REF!+E9+J9)/3/1000</f>
        <v>#REF!</v>
      </c>
      <c r="M9" s="2" t="e">
        <f t="shared" si="3"/>
        <v>#REF!</v>
      </c>
      <c r="N9" s="1">
        <v>1.04</v>
      </c>
      <c r="O9" s="3" t="e">
        <f t="shared" si="0"/>
        <v>#REF!</v>
      </c>
      <c r="P9" s="3" t="e">
        <f t="shared" si="4"/>
        <v>#REF!</v>
      </c>
      <c r="Q9" s="2">
        <f t="shared" si="5"/>
        <v>1.04</v>
      </c>
      <c r="R9" s="2" t="e">
        <f t="shared" si="6"/>
        <v>#REF!</v>
      </c>
      <c r="S9" s="2" t="e">
        <f t="shared" si="7"/>
        <v>#REF!</v>
      </c>
      <c r="T9" s="2">
        <f t="shared" si="8"/>
        <v>1.04</v>
      </c>
      <c r="U9" s="2" t="e">
        <f t="shared" si="1"/>
        <v>#REF!</v>
      </c>
      <c r="V9" s="2" t="e">
        <f t="shared" si="9"/>
        <v>#REF!</v>
      </c>
      <c r="W9" s="2">
        <f t="shared" si="2"/>
        <v>1.04</v>
      </c>
      <c r="X9" s="2" t="e">
        <f t="shared" si="10"/>
        <v>#REF!</v>
      </c>
      <c r="Y9" s="2" t="e">
        <f t="shared" si="11"/>
        <v>#REF!</v>
      </c>
      <c r="Z9" s="2">
        <f t="shared" si="12"/>
        <v>1.04</v>
      </c>
      <c r="AA9" s="2" t="e">
        <f t="shared" si="13"/>
        <v>#REF!</v>
      </c>
      <c r="AB9" s="2" t="e">
        <f t="shared" si="14"/>
        <v>#REF!</v>
      </c>
    </row>
    <row r="10" spans="1:28" ht="95.25" hidden="1" customHeight="1">
      <c r="A10" s="15">
        <v>5</v>
      </c>
      <c r="B10" s="1" t="s">
        <v>29</v>
      </c>
      <c r="C10" s="16" t="s">
        <v>30</v>
      </c>
      <c r="D10" s="106"/>
      <c r="E10" s="146">
        <f>83990/1.2</f>
        <v>69991.666666666672</v>
      </c>
      <c r="F10" s="146"/>
      <c r="G10" s="146"/>
      <c r="H10" s="146"/>
      <c r="I10" s="146"/>
      <c r="J10" s="146">
        <f>83999/1.2</f>
        <v>69999.166666666672</v>
      </c>
      <c r="K10" s="146"/>
      <c r="L10" s="2" t="e">
        <f>(#REF!+E10+J10)/3/1000</f>
        <v>#REF!</v>
      </c>
      <c r="M10" s="2" t="e">
        <f t="shared" si="3"/>
        <v>#REF!</v>
      </c>
      <c r="N10" s="1">
        <v>1.04</v>
      </c>
      <c r="O10" s="3" t="e">
        <f t="shared" si="0"/>
        <v>#REF!</v>
      </c>
      <c r="P10" s="3" t="e">
        <f t="shared" si="4"/>
        <v>#REF!</v>
      </c>
      <c r="Q10" s="2">
        <f t="shared" si="5"/>
        <v>1.04</v>
      </c>
      <c r="R10" s="2" t="e">
        <f t="shared" si="6"/>
        <v>#REF!</v>
      </c>
      <c r="S10" s="2" t="e">
        <f t="shared" si="7"/>
        <v>#REF!</v>
      </c>
      <c r="T10" s="2">
        <f t="shared" si="8"/>
        <v>1.04</v>
      </c>
      <c r="U10" s="2" t="e">
        <f t="shared" si="1"/>
        <v>#REF!</v>
      </c>
      <c r="V10" s="2" t="e">
        <f t="shared" si="9"/>
        <v>#REF!</v>
      </c>
      <c r="W10" s="2">
        <f t="shared" si="2"/>
        <v>1.04</v>
      </c>
      <c r="X10" s="2" t="e">
        <f t="shared" si="10"/>
        <v>#REF!</v>
      </c>
      <c r="Y10" s="2" t="e">
        <f t="shared" si="11"/>
        <v>#REF!</v>
      </c>
      <c r="Z10" s="2">
        <f t="shared" si="12"/>
        <v>1.04</v>
      </c>
      <c r="AA10" s="2" t="e">
        <f t="shared" si="13"/>
        <v>#REF!</v>
      </c>
      <c r="AB10" s="2" t="e">
        <f t="shared" si="14"/>
        <v>#REF!</v>
      </c>
    </row>
    <row r="11" spans="1:28" ht="144.75" hidden="1" customHeight="1">
      <c r="A11" s="15">
        <v>6</v>
      </c>
      <c r="B11" s="1" t="s">
        <v>31</v>
      </c>
      <c r="C11" s="16" t="s">
        <v>32</v>
      </c>
      <c r="D11" s="106"/>
      <c r="E11" s="146">
        <f>114380/1.2</f>
        <v>95316.666666666672</v>
      </c>
      <c r="F11" s="146"/>
      <c r="G11" s="146"/>
      <c r="H11" s="146"/>
      <c r="I11" s="146"/>
      <c r="J11" s="146">
        <f>122999/1.2</f>
        <v>102499.16666666667</v>
      </c>
      <c r="K11" s="146"/>
      <c r="L11" s="2" t="e">
        <f>(#REF!+E11+J11)/3/1000</f>
        <v>#REF!</v>
      </c>
      <c r="M11" s="2" t="e">
        <f t="shared" si="3"/>
        <v>#REF!</v>
      </c>
      <c r="N11" s="1">
        <v>1.04</v>
      </c>
      <c r="O11" s="3" t="e">
        <f t="shared" si="0"/>
        <v>#REF!</v>
      </c>
      <c r="P11" s="3" t="e">
        <f t="shared" si="4"/>
        <v>#REF!</v>
      </c>
      <c r="Q11" s="2">
        <f t="shared" si="5"/>
        <v>1.04</v>
      </c>
      <c r="R11" s="2" t="e">
        <f t="shared" si="6"/>
        <v>#REF!</v>
      </c>
      <c r="S11" s="2" t="e">
        <f t="shared" si="7"/>
        <v>#REF!</v>
      </c>
      <c r="T11" s="2">
        <f t="shared" si="8"/>
        <v>1.04</v>
      </c>
      <c r="U11" s="2" t="e">
        <f t="shared" si="1"/>
        <v>#REF!</v>
      </c>
      <c r="V11" s="2" t="e">
        <f t="shared" si="9"/>
        <v>#REF!</v>
      </c>
      <c r="W11" s="2">
        <f t="shared" si="2"/>
        <v>1.04</v>
      </c>
      <c r="X11" s="2" t="e">
        <f t="shared" si="10"/>
        <v>#REF!</v>
      </c>
      <c r="Y11" s="2" t="e">
        <f t="shared" si="11"/>
        <v>#REF!</v>
      </c>
      <c r="Z11" s="2">
        <f t="shared" si="12"/>
        <v>1.04</v>
      </c>
      <c r="AA11" s="2" t="e">
        <f t="shared" si="13"/>
        <v>#REF!</v>
      </c>
      <c r="AB11" s="2" t="e">
        <f t="shared" si="14"/>
        <v>#REF!</v>
      </c>
    </row>
    <row r="12" spans="1:28" ht="81" hidden="1" customHeight="1">
      <c r="A12" s="15">
        <v>7</v>
      </c>
      <c r="B12" s="1" t="s">
        <v>33</v>
      </c>
      <c r="C12" s="16" t="s">
        <v>34</v>
      </c>
      <c r="D12" s="106"/>
      <c r="E12" s="146">
        <f>50684/1.2</f>
        <v>42236.666666666672</v>
      </c>
      <c r="F12" s="146"/>
      <c r="G12" s="146"/>
      <c r="H12" s="146"/>
      <c r="I12" s="146"/>
      <c r="J12" s="146">
        <f>51832/1.2</f>
        <v>43193.333333333336</v>
      </c>
      <c r="K12" s="146"/>
      <c r="L12" s="2" t="e">
        <f>(#REF!+E12+J12)/3/1000</f>
        <v>#REF!</v>
      </c>
      <c r="M12" s="2" t="e">
        <f t="shared" si="3"/>
        <v>#REF!</v>
      </c>
      <c r="N12" s="1">
        <v>1.04</v>
      </c>
      <c r="O12" s="3" t="e">
        <f t="shared" si="0"/>
        <v>#REF!</v>
      </c>
      <c r="P12" s="3" t="e">
        <f t="shared" si="4"/>
        <v>#REF!</v>
      </c>
      <c r="Q12" s="2">
        <f t="shared" si="5"/>
        <v>1.04</v>
      </c>
      <c r="R12" s="2" t="e">
        <f t="shared" si="6"/>
        <v>#REF!</v>
      </c>
      <c r="S12" s="2" t="e">
        <f t="shared" si="7"/>
        <v>#REF!</v>
      </c>
      <c r="T12" s="2">
        <f t="shared" si="8"/>
        <v>1.04</v>
      </c>
      <c r="U12" s="2" t="e">
        <f t="shared" si="1"/>
        <v>#REF!</v>
      </c>
      <c r="V12" s="2" t="e">
        <f t="shared" si="9"/>
        <v>#REF!</v>
      </c>
      <c r="W12" s="2">
        <f t="shared" si="2"/>
        <v>1.04</v>
      </c>
      <c r="X12" s="2" t="e">
        <f t="shared" si="10"/>
        <v>#REF!</v>
      </c>
      <c r="Y12" s="2" t="e">
        <f t="shared" si="11"/>
        <v>#REF!</v>
      </c>
      <c r="Z12" s="2">
        <f t="shared" si="12"/>
        <v>1.04</v>
      </c>
      <c r="AA12" s="2" t="e">
        <f t="shared" si="13"/>
        <v>#REF!</v>
      </c>
      <c r="AB12" s="2" t="e">
        <f t="shared" si="14"/>
        <v>#REF!</v>
      </c>
    </row>
    <row r="13" spans="1:28" ht="126.75" hidden="1" customHeight="1">
      <c r="A13" s="15">
        <v>8</v>
      </c>
      <c r="B13" s="9" t="s">
        <v>35</v>
      </c>
      <c r="C13" s="16" t="s">
        <v>36</v>
      </c>
      <c r="D13" s="106"/>
      <c r="E13" s="146">
        <f>29490/1.2</f>
        <v>24575</v>
      </c>
      <c r="F13" s="146"/>
      <c r="G13" s="146"/>
      <c r="H13" s="146"/>
      <c r="I13" s="146"/>
      <c r="J13" s="146">
        <f>29490/1.2</f>
        <v>24575</v>
      </c>
      <c r="K13" s="146"/>
      <c r="L13" s="2" t="e">
        <f>(#REF!+E13+J13)/3/1000</f>
        <v>#REF!</v>
      </c>
      <c r="M13" s="2" t="e">
        <f t="shared" si="3"/>
        <v>#REF!</v>
      </c>
      <c r="N13" s="1">
        <v>1.04</v>
      </c>
      <c r="O13" s="3" t="e">
        <f t="shared" si="0"/>
        <v>#REF!</v>
      </c>
      <c r="P13" s="3" t="e">
        <f t="shared" si="4"/>
        <v>#REF!</v>
      </c>
      <c r="Q13" s="2">
        <f t="shared" si="5"/>
        <v>1.04</v>
      </c>
      <c r="R13" s="2" t="e">
        <f t="shared" si="6"/>
        <v>#REF!</v>
      </c>
      <c r="S13" s="2" t="e">
        <f t="shared" si="7"/>
        <v>#REF!</v>
      </c>
      <c r="T13" s="2">
        <f t="shared" si="8"/>
        <v>1.04</v>
      </c>
      <c r="U13" s="2" t="e">
        <f t="shared" si="1"/>
        <v>#REF!</v>
      </c>
      <c r="V13" s="2" t="e">
        <f t="shared" si="9"/>
        <v>#REF!</v>
      </c>
      <c r="W13" s="2">
        <f t="shared" si="2"/>
        <v>1.04</v>
      </c>
      <c r="X13" s="2" t="e">
        <f t="shared" si="10"/>
        <v>#REF!</v>
      </c>
      <c r="Y13" s="2" t="e">
        <f t="shared" si="11"/>
        <v>#REF!</v>
      </c>
      <c r="Z13" s="2">
        <f t="shared" si="12"/>
        <v>1.04</v>
      </c>
      <c r="AA13" s="2" t="e">
        <f t="shared" si="13"/>
        <v>#REF!</v>
      </c>
      <c r="AB13" s="2" t="e">
        <f t="shared" si="14"/>
        <v>#REF!</v>
      </c>
    </row>
    <row r="14" spans="1:28" ht="180" hidden="1" customHeight="1">
      <c r="A14" s="15">
        <v>9</v>
      </c>
      <c r="B14" s="9" t="s">
        <v>46</v>
      </c>
      <c r="C14" s="16" t="s">
        <v>37</v>
      </c>
      <c r="D14" s="106"/>
      <c r="E14" s="146">
        <f>59677/1.2</f>
        <v>49730.833333333336</v>
      </c>
      <c r="F14" s="146"/>
      <c r="G14" s="146"/>
      <c r="H14" s="146"/>
      <c r="I14" s="146"/>
      <c r="J14" s="146">
        <f>57999/1.2</f>
        <v>48332.5</v>
      </c>
      <c r="K14" s="146"/>
      <c r="L14" s="2" t="e">
        <f>(#REF!+E14+J14)/3/1000</f>
        <v>#REF!</v>
      </c>
      <c r="M14" s="2" t="e">
        <f t="shared" si="3"/>
        <v>#REF!</v>
      </c>
      <c r="N14" s="1">
        <v>1.04</v>
      </c>
      <c r="O14" s="3" t="e">
        <f t="shared" si="0"/>
        <v>#REF!</v>
      </c>
      <c r="P14" s="3" t="e">
        <f t="shared" si="4"/>
        <v>#REF!</v>
      </c>
      <c r="Q14" s="2">
        <f t="shared" si="5"/>
        <v>1.04</v>
      </c>
      <c r="R14" s="2" t="e">
        <f t="shared" si="6"/>
        <v>#REF!</v>
      </c>
      <c r="S14" s="2" t="e">
        <f t="shared" si="7"/>
        <v>#REF!</v>
      </c>
      <c r="T14" s="2">
        <f t="shared" si="8"/>
        <v>1.04</v>
      </c>
      <c r="U14" s="2" t="e">
        <f t="shared" si="1"/>
        <v>#REF!</v>
      </c>
      <c r="V14" s="2" t="e">
        <f t="shared" si="9"/>
        <v>#REF!</v>
      </c>
      <c r="W14" s="2">
        <f t="shared" si="2"/>
        <v>1.04</v>
      </c>
      <c r="X14" s="2" t="e">
        <f t="shared" si="10"/>
        <v>#REF!</v>
      </c>
      <c r="Y14" s="2" t="e">
        <f t="shared" si="11"/>
        <v>#REF!</v>
      </c>
      <c r="Z14" s="2">
        <f t="shared" si="12"/>
        <v>1.04</v>
      </c>
      <c r="AA14" s="2" t="e">
        <f t="shared" si="13"/>
        <v>#REF!</v>
      </c>
      <c r="AB14" s="2" t="e">
        <f t="shared" si="14"/>
        <v>#REF!</v>
      </c>
    </row>
    <row r="15" spans="1:28" ht="135" hidden="1" customHeight="1">
      <c r="A15" s="15">
        <v>10</v>
      </c>
      <c r="B15" s="9" t="s">
        <v>38</v>
      </c>
      <c r="C15" s="16" t="s">
        <v>39</v>
      </c>
      <c r="D15" s="106"/>
      <c r="E15" s="146">
        <f>537017/1.2</f>
        <v>447514.16666666669</v>
      </c>
      <c r="F15" s="146"/>
      <c r="G15" s="146"/>
      <c r="H15" s="146"/>
      <c r="I15" s="146"/>
      <c r="J15" s="146">
        <f>545250/1.2</f>
        <v>454375</v>
      </c>
      <c r="K15" s="146"/>
      <c r="L15" s="2" t="e">
        <f>(#REF!+E15+J15)/3/1000</f>
        <v>#REF!</v>
      </c>
      <c r="M15" s="2" t="e">
        <f t="shared" si="3"/>
        <v>#REF!</v>
      </c>
      <c r="N15" s="1">
        <v>1.04</v>
      </c>
      <c r="O15" s="3" t="e">
        <f t="shared" si="0"/>
        <v>#REF!</v>
      </c>
      <c r="P15" s="3" t="e">
        <f t="shared" si="4"/>
        <v>#REF!</v>
      </c>
      <c r="Q15" s="2">
        <f t="shared" si="5"/>
        <v>1.04</v>
      </c>
      <c r="R15" s="2" t="e">
        <f t="shared" si="6"/>
        <v>#REF!</v>
      </c>
      <c r="S15" s="2" t="e">
        <f t="shared" si="7"/>
        <v>#REF!</v>
      </c>
      <c r="T15" s="2">
        <f t="shared" si="8"/>
        <v>1.04</v>
      </c>
      <c r="U15" s="2" t="e">
        <f t="shared" si="1"/>
        <v>#REF!</v>
      </c>
      <c r="V15" s="2" t="e">
        <f t="shared" si="9"/>
        <v>#REF!</v>
      </c>
      <c r="W15" s="2">
        <f t="shared" si="2"/>
        <v>1.04</v>
      </c>
      <c r="X15" s="2" t="e">
        <f t="shared" si="10"/>
        <v>#REF!</v>
      </c>
      <c r="Y15" s="2" t="e">
        <f t="shared" si="11"/>
        <v>#REF!</v>
      </c>
      <c r="Z15" s="2">
        <f t="shared" si="12"/>
        <v>1.04</v>
      </c>
      <c r="AA15" s="2" t="e">
        <f t="shared" si="13"/>
        <v>#REF!</v>
      </c>
      <c r="AB15" s="2" t="e">
        <f t="shared" si="14"/>
        <v>#REF!</v>
      </c>
    </row>
    <row r="16" spans="1:28" ht="111.75" hidden="1" customHeight="1">
      <c r="A16" s="15">
        <v>11</v>
      </c>
      <c r="B16" s="9" t="s">
        <v>40</v>
      </c>
      <c r="C16" s="16" t="s">
        <v>41</v>
      </c>
      <c r="D16" s="106"/>
      <c r="E16" s="146">
        <f>411829/1.2</f>
        <v>343190.83333333337</v>
      </c>
      <c r="F16" s="146"/>
      <c r="G16" s="146"/>
      <c r="H16" s="146"/>
      <c r="I16" s="146"/>
      <c r="J16" s="146">
        <f>345000/1.2</f>
        <v>287500</v>
      </c>
      <c r="K16" s="146"/>
      <c r="L16" s="2" t="e">
        <f>(#REF!+E16+J16)/3/1000</f>
        <v>#REF!</v>
      </c>
      <c r="M16" s="2" t="e">
        <f t="shared" si="3"/>
        <v>#REF!</v>
      </c>
      <c r="N16" s="1">
        <v>1.04</v>
      </c>
      <c r="O16" s="3" t="e">
        <f t="shared" si="0"/>
        <v>#REF!</v>
      </c>
      <c r="P16" s="3" t="e">
        <f t="shared" si="4"/>
        <v>#REF!</v>
      </c>
      <c r="Q16" s="2">
        <f t="shared" si="5"/>
        <v>1.04</v>
      </c>
      <c r="R16" s="2" t="e">
        <f t="shared" si="6"/>
        <v>#REF!</v>
      </c>
      <c r="S16" s="2" t="e">
        <f t="shared" si="7"/>
        <v>#REF!</v>
      </c>
      <c r="T16" s="2">
        <f t="shared" si="8"/>
        <v>1.04</v>
      </c>
      <c r="U16" s="2" t="e">
        <f t="shared" si="1"/>
        <v>#REF!</v>
      </c>
      <c r="V16" s="2" t="e">
        <f t="shared" si="9"/>
        <v>#REF!</v>
      </c>
      <c r="W16" s="2">
        <f t="shared" si="2"/>
        <v>1.04</v>
      </c>
      <c r="X16" s="2" t="e">
        <f t="shared" si="10"/>
        <v>#REF!</v>
      </c>
      <c r="Y16" s="2" t="e">
        <f t="shared" si="11"/>
        <v>#REF!</v>
      </c>
      <c r="Z16" s="2">
        <f t="shared" si="12"/>
        <v>1.04</v>
      </c>
      <c r="AA16" s="2" t="e">
        <f t="shared" si="13"/>
        <v>#REF!</v>
      </c>
      <c r="AB16" s="2" t="e">
        <f t="shared" si="14"/>
        <v>#REF!</v>
      </c>
    </row>
    <row r="17" spans="1:28" ht="54" hidden="1" customHeight="1">
      <c r="A17" s="15">
        <v>12</v>
      </c>
      <c r="B17" s="9" t="s">
        <v>42</v>
      </c>
      <c r="C17" s="16" t="s">
        <v>43</v>
      </c>
      <c r="D17" s="106"/>
      <c r="E17" s="164">
        <f>4190000/1.2</f>
        <v>3491666.666666667</v>
      </c>
      <c r="F17" s="164"/>
      <c r="G17" s="164"/>
      <c r="H17" s="164"/>
      <c r="I17" s="146"/>
      <c r="J17" s="164">
        <f>4190000/1.2</f>
        <v>3491666.666666667</v>
      </c>
      <c r="K17" s="146"/>
      <c r="L17" s="2" t="e">
        <f>(#REF!+E17+J17)/3/1000</f>
        <v>#REF!</v>
      </c>
      <c r="M17" s="2" t="e">
        <f t="shared" si="3"/>
        <v>#REF!</v>
      </c>
      <c r="N17" s="1">
        <v>1.04</v>
      </c>
      <c r="O17" s="3" t="e">
        <f t="shared" si="0"/>
        <v>#REF!</v>
      </c>
      <c r="P17" s="3" t="e">
        <f t="shared" si="4"/>
        <v>#REF!</v>
      </c>
      <c r="Q17" s="2">
        <f t="shared" si="5"/>
        <v>1.04</v>
      </c>
      <c r="R17" s="2" t="e">
        <f t="shared" si="6"/>
        <v>#REF!</v>
      </c>
      <c r="S17" s="2" t="e">
        <f t="shared" si="7"/>
        <v>#REF!</v>
      </c>
      <c r="T17" s="2">
        <f t="shared" si="8"/>
        <v>1.04</v>
      </c>
      <c r="U17" s="2" t="e">
        <f t="shared" si="1"/>
        <v>#REF!</v>
      </c>
      <c r="V17" s="2" t="e">
        <f t="shared" si="9"/>
        <v>#REF!</v>
      </c>
      <c r="W17" s="2">
        <f t="shared" si="2"/>
        <v>1.04</v>
      </c>
      <c r="X17" s="2" t="e">
        <f t="shared" si="10"/>
        <v>#REF!</v>
      </c>
      <c r="Y17" s="2" t="e">
        <f t="shared" si="11"/>
        <v>#REF!</v>
      </c>
      <c r="Z17" s="2">
        <f t="shared" si="12"/>
        <v>1.04</v>
      </c>
      <c r="AA17" s="2" t="e">
        <f t="shared" si="13"/>
        <v>#REF!</v>
      </c>
      <c r="AB17" s="2" t="e">
        <f t="shared" si="14"/>
        <v>#REF!</v>
      </c>
    </row>
    <row r="18" spans="1:28" ht="70.5" hidden="1" customHeight="1">
      <c r="A18" s="15">
        <v>13</v>
      </c>
      <c r="B18" s="9" t="s">
        <v>44</v>
      </c>
      <c r="C18" s="16" t="s">
        <v>45</v>
      </c>
      <c r="D18" s="106"/>
      <c r="E18" s="146">
        <f>274323/1.2</f>
        <v>228602.5</v>
      </c>
      <c r="F18" s="146"/>
      <c r="G18" s="146"/>
      <c r="H18" s="146"/>
      <c r="I18" s="146"/>
      <c r="J18" s="146">
        <f>264178/1.2</f>
        <v>220148.33333333334</v>
      </c>
      <c r="K18" s="146"/>
      <c r="L18" s="2" t="e">
        <f>(#REF!+E18+J18)/3/1000</f>
        <v>#REF!</v>
      </c>
      <c r="M18" s="2" t="e">
        <f t="shared" si="3"/>
        <v>#REF!</v>
      </c>
      <c r="N18" s="1">
        <v>1.04</v>
      </c>
      <c r="O18" s="3" t="e">
        <f t="shared" si="0"/>
        <v>#REF!</v>
      </c>
      <c r="P18" s="3" t="e">
        <f t="shared" si="4"/>
        <v>#REF!</v>
      </c>
      <c r="Q18" s="2">
        <f t="shared" si="5"/>
        <v>1.04</v>
      </c>
      <c r="R18" s="2" t="e">
        <f t="shared" si="6"/>
        <v>#REF!</v>
      </c>
      <c r="S18" s="2" t="e">
        <f t="shared" si="7"/>
        <v>#REF!</v>
      </c>
      <c r="T18" s="2">
        <f t="shared" si="8"/>
        <v>1.04</v>
      </c>
      <c r="U18" s="2" t="e">
        <f t="shared" si="1"/>
        <v>#REF!</v>
      </c>
      <c r="V18" s="2" t="e">
        <f t="shared" si="9"/>
        <v>#REF!</v>
      </c>
      <c r="W18" s="2">
        <f t="shared" si="2"/>
        <v>1.04</v>
      </c>
      <c r="X18" s="2" t="e">
        <f t="shared" si="10"/>
        <v>#REF!</v>
      </c>
      <c r="Y18" s="2" t="e">
        <f t="shared" si="11"/>
        <v>#REF!</v>
      </c>
      <c r="Z18" s="2">
        <f t="shared" si="12"/>
        <v>1.04</v>
      </c>
      <c r="AA18" s="2" t="e">
        <f t="shared" si="13"/>
        <v>#REF!</v>
      </c>
      <c r="AB18" s="2" t="e">
        <f t="shared" si="14"/>
        <v>#REF!</v>
      </c>
    </row>
    <row r="19" spans="1:28" ht="202.5" hidden="1" customHeight="1">
      <c r="A19" s="18"/>
      <c r="B19" s="19" t="s">
        <v>1</v>
      </c>
      <c r="C19" s="20"/>
      <c r="D19" s="106"/>
      <c r="E19" s="146">
        <f>31999/1.2</f>
        <v>26665.833333333336</v>
      </c>
      <c r="F19" s="146"/>
      <c r="G19" s="146"/>
      <c r="H19" s="146"/>
      <c r="I19" s="146"/>
      <c r="J19" s="146">
        <f>31827/1.2</f>
        <v>26522.5</v>
      </c>
      <c r="K19" s="146"/>
      <c r="L19" s="2" t="e">
        <f>(#REF!+#REF!+E19+E20+J19+J20)/3/1000</f>
        <v>#REF!</v>
      </c>
      <c r="M19" s="2"/>
      <c r="N19" s="1">
        <v>1.04</v>
      </c>
      <c r="O19" s="3" t="e">
        <f>L19*N19+0.01</f>
        <v>#REF!</v>
      </c>
      <c r="P19" s="3"/>
      <c r="Q19" s="2"/>
      <c r="R19" s="2"/>
      <c r="S19" s="2"/>
      <c r="T19" s="2"/>
      <c r="U19" s="2"/>
      <c r="V19" s="2"/>
      <c r="W19" s="2"/>
      <c r="X19" s="21"/>
      <c r="Y19" s="22"/>
      <c r="Z19" s="22"/>
      <c r="AA19" s="22"/>
      <c r="AB19" s="22"/>
    </row>
    <row r="20" spans="1:28" ht="39" hidden="1" customHeight="1">
      <c r="A20" s="23"/>
      <c r="B20" s="23"/>
      <c r="C20" s="6"/>
      <c r="L20" s="22"/>
      <c r="M20" s="22"/>
      <c r="N20" s="4"/>
    </row>
    <row r="21" spans="1:28" ht="78" hidden="1" customHeight="1">
      <c r="A21" s="24" t="s">
        <v>2</v>
      </c>
      <c r="B21" s="148" t="s">
        <v>5</v>
      </c>
      <c r="C21" s="148"/>
      <c r="D21" s="24" t="s">
        <v>11</v>
      </c>
      <c r="E21" s="25" t="s">
        <v>12</v>
      </c>
      <c r="F21" s="92"/>
      <c r="G21" s="92"/>
      <c r="H21" s="92"/>
      <c r="I21" s="25" t="s">
        <v>13</v>
      </c>
      <c r="J21" s="25" t="s">
        <v>14</v>
      </c>
      <c r="K21" s="24" t="s">
        <v>6</v>
      </c>
      <c r="L21" s="24" t="s">
        <v>7</v>
      </c>
      <c r="M21" s="24"/>
      <c r="N21" s="24" t="s">
        <v>15</v>
      </c>
      <c r="O21" s="24" t="s">
        <v>16</v>
      </c>
      <c r="P21" s="24"/>
      <c r="Q21" s="24" t="s">
        <v>17</v>
      </c>
      <c r="R21" s="24" t="s">
        <v>18</v>
      </c>
      <c r="S21" s="24"/>
      <c r="T21" s="24" t="s">
        <v>19</v>
      </c>
      <c r="U21" s="24" t="s">
        <v>20</v>
      </c>
      <c r="V21" s="24"/>
      <c r="W21" s="24" t="s">
        <v>21</v>
      </c>
      <c r="X21" s="24" t="s">
        <v>22</v>
      </c>
      <c r="Y21" s="26"/>
    </row>
    <row r="22" spans="1:28" ht="18.75" hidden="1" customHeight="1">
      <c r="A22" s="1">
        <v>1</v>
      </c>
      <c r="B22" s="149" t="s">
        <v>0</v>
      </c>
      <c r="C22" s="150"/>
      <c r="D22" s="7">
        <v>0</v>
      </c>
      <c r="E22" s="7">
        <v>1</v>
      </c>
      <c r="F22" s="7"/>
      <c r="G22" s="7"/>
      <c r="H22" s="7"/>
      <c r="I22" s="7">
        <v>0</v>
      </c>
      <c r="J22" s="7">
        <v>0</v>
      </c>
      <c r="K22" s="8" t="e">
        <f>#REF!*O6</f>
        <v>#REF!</v>
      </c>
      <c r="L22" s="8" t="e">
        <f>K22*1.2</f>
        <v>#REF!</v>
      </c>
      <c r="M22" s="8"/>
      <c r="N22" s="8" t="e">
        <f t="shared" ref="N22:N30" si="15">D22*R6</f>
        <v>#REF!</v>
      </c>
      <c r="O22" s="8" t="e">
        <f>N22*1.2</f>
        <v>#REF!</v>
      </c>
      <c r="P22" s="8"/>
      <c r="Q22" s="8" t="e">
        <f t="shared" ref="Q22:Q34" si="16">E22*U6</f>
        <v>#REF!</v>
      </c>
      <c r="R22" s="8" t="e">
        <f>Q22*1.2</f>
        <v>#REF!</v>
      </c>
      <c r="S22" s="8"/>
      <c r="T22" s="8" t="e">
        <f t="shared" ref="T22:T34" si="17">I22*X6</f>
        <v>#REF!</v>
      </c>
      <c r="U22" s="8" t="e">
        <f t="shared" ref="U22:U34" si="18">T22*1.2</f>
        <v>#REF!</v>
      </c>
      <c r="V22" s="8"/>
      <c r="W22" s="8" t="e">
        <f t="shared" ref="W22:W34" si="19">J22*AA6</f>
        <v>#REF!</v>
      </c>
      <c r="X22" s="8" t="e">
        <f>W22*1.2</f>
        <v>#REF!</v>
      </c>
      <c r="Y22" s="10"/>
    </row>
    <row r="23" spans="1:28" ht="18.75" hidden="1" customHeight="1">
      <c r="A23" s="1">
        <v>2</v>
      </c>
      <c r="B23" s="149" t="s">
        <v>24</v>
      </c>
      <c r="C23" s="150"/>
      <c r="D23" s="7">
        <v>4</v>
      </c>
      <c r="E23" s="7">
        <v>6</v>
      </c>
      <c r="F23" s="7"/>
      <c r="G23" s="7"/>
      <c r="H23" s="7"/>
      <c r="I23" s="7">
        <v>4</v>
      </c>
      <c r="J23" s="7">
        <v>4</v>
      </c>
      <c r="K23" s="8" t="e">
        <f>#REF!*O7</f>
        <v>#REF!</v>
      </c>
      <c r="L23" s="8" t="e">
        <f t="shared" ref="L23:L34" si="20">K23*1.2</f>
        <v>#REF!</v>
      </c>
      <c r="M23" s="8"/>
      <c r="N23" s="8" t="e">
        <f t="shared" si="15"/>
        <v>#REF!</v>
      </c>
      <c r="O23" s="8" t="e">
        <f t="shared" ref="O23:O34" si="21">N23*1.2</f>
        <v>#REF!</v>
      </c>
      <c r="P23" s="8"/>
      <c r="Q23" s="8" t="e">
        <f t="shared" si="16"/>
        <v>#REF!</v>
      </c>
      <c r="R23" s="8" t="e">
        <f t="shared" ref="R23:R34" si="22">Q23*1.2</f>
        <v>#REF!</v>
      </c>
      <c r="S23" s="8"/>
      <c r="T23" s="8" t="e">
        <f t="shared" si="17"/>
        <v>#REF!</v>
      </c>
      <c r="U23" s="8" t="e">
        <f t="shared" si="18"/>
        <v>#REF!</v>
      </c>
      <c r="V23" s="8"/>
      <c r="W23" s="8" t="e">
        <f t="shared" si="19"/>
        <v>#REF!</v>
      </c>
      <c r="X23" s="8" t="e">
        <f t="shared" ref="X23:X34" si="23">W23*1.2</f>
        <v>#REF!</v>
      </c>
      <c r="Y23" s="10"/>
    </row>
    <row r="24" spans="1:28" ht="18.75" hidden="1" customHeight="1">
      <c r="A24" s="1">
        <v>3</v>
      </c>
      <c r="B24" s="149" t="s">
        <v>25</v>
      </c>
      <c r="C24" s="150"/>
      <c r="D24" s="7">
        <v>2</v>
      </c>
      <c r="E24" s="7">
        <v>3</v>
      </c>
      <c r="F24" s="7"/>
      <c r="G24" s="7"/>
      <c r="H24" s="7"/>
      <c r="I24" s="7">
        <v>2</v>
      </c>
      <c r="J24" s="7">
        <v>2</v>
      </c>
      <c r="K24" s="8" t="e">
        <f>#REF!*O8</f>
        <v>#REF!</v>
      </c>
      <c r="L24" s="8" t="e">
        <f t="shared" si="20"/>
        <v>#REF!</v>
      </c>
      <c r="M24" s="8"/>
      <c r="N24" s="8" t="e">
        <f t="shared" si="15"/>
        <v>#REF!</v>
      </c>
      <c r="O24" s="8" t="e">
        <f t="shared" si="21"/>
        <v>#REF!</v>
      </c>
      <c r="P24" s="8"/>
      <c r="Q24" s="8" t="e">
        <f t="shared" si="16"/>
        <v>#REF!</v>
      </c>
      <c r="R24" s="8" t="e">
        <f t="shared" si="22"/>
        <v>#REF!</v>
      </c>
      <c r="S24" s="8"/>
      <c r="T24" s="8" t="e">
        <f t="shared" si="17"/>
        <v>#REF!</v>
      </c>
      <c r="U24" s="8" t="e">
        <f t="shared" si="18"/>
        <v>#REF!</v>
      </c>
      <c r="V24" s="8"/>
      <c r="W24" s="8" t="e">
        <f t="shared" si="19"/>
        <v>#REF!</v>
      </c>
      <c r="X24" s="8" t="e">
        <f t="shared" si="23"/>
        <v>#REF!</v>
      </c>
      <c r="Y24" s="10"/>
    </row>
    <row r="25" spans="1:28" ht="18.75" hidden="1" customHeight="1">
      <c r="A25" s="1">
        <v>4</v>
      </c>
      <c r="B25" s="149" t="s">
        <v>27</v>
      </c>
      <c r="C25" s="150"/>
      <c r="D25" s="7">
        <v>2</v>
      </c>
      <c r="E25" s="7">
        <v>3</v>
      </c>
      <c r="F25" s="7"/>
      <c r="G25" s="7"/>
      <c r="H25" s="7"/>
      <c r="I25" s="7">
        <v>2</v>
      </c>
      <c r="J25" s="7">
        <v>2</v>
      </c>
      <c r="K25" s="8" t="e">
        <f>#REF!*O9</f>
        <v>#REF!</v>
      </c>
      <c r="L25" s="8" t="e">
        <f t="shared" si="20"/>
        <v>#REF!</v>
      </c>
      <c r="M25" s="8"/>
      <c r="N25" s="8" t="e">
        <f t="shared" si="15"/>
        <v>#REF!</v>
      </c>
      <c r="O25" s="8" t="e">
        <f t="shared" si="21"/>
        <v>#REF!</v>
      </c>
      <c r="P25" s="8"/>
      <c r="Q25" s="8" t="e">
        <f t="shared" si="16"/>
        <v>#REF!</v>
      </c>
      <c r="R25" s="8" t="e">
        <f t="shared" si="22"/>
        <v>#REF!</v>
      </c>
      <c r="S25" s="8"/>
      <c r="T25" s="8" t="e">
        <f t="shared" si="17"/>
        <v>#REF!</v>
      </c>
      <c r="U25" s="8" t="e">
        <f t="shared" si="18"/>
        <v>#REF!</v>
      </c>
      <c r="V25" s="8"/>
      <c r="W25" s="8" t="e">
        <f t="shared" si="19"/>
        <v>#REF!</v>
      </c>
      <c r="X25" s="8" t="e">
        <f t="shared" si="23"/>
        <v>#REF!</v>
      </c>
      <c r="Y25" s="10"/>
    </row>
    <row r="26" spans="1:28" ht="18.75" hidden="1" customHeight="1">
      <c r="A26" s="1">
        <v>5</v>
      </c>
      <c r="B26" s="149" t="s">
        <v>29</v>
      </c>
      <c r="C26" s="150"/>
      <c r="D26" s="7">
        <v>1</v>
      </c>
      <c r="E26" s="7">
        <v>0</v>
      </c>
      <c r="F26" s="7"/>
      <c r="G26" s="7"/>
      <c r="H26" s="7"/>
      <c r="I26" s="7">
        <v>1</v>
      </c>
      <c r="J26" s="7">
        <v>0</v>
      </c>
      <c r="K26" s="8" t="e">
        <f>#REF!*O10</f>
        <v>#REF!</v>
      </c>
      <c r="L26" s="8" t="e">
        <f t="shared" si="20"/>
        <v>#REF!</v>
      </c>
      <c r="M26" s="8"/>
      <c r="N26" s="8" t="e">
        <f t="shared" si="15"/>
        <v>#REF!</v>
      </c>
      <c r="O26" s="8" t="e">
        <f t="shared" si="21"/>
        <v>#REF!</v>
      </c>
      <c r="P26" s="8"/>
      <c r="Q26" s="8" t="e">
        <f t="shared" si="16"/>
        <v>#REF!</v>
      </c>
      <c r="R26" s="8" t="e">
        <f t="shared" si="22"/>
        <v>#REF!</v>
      </c>
      <c r="S26" s="8"/>
      <c r="T26" s="8" t="e">
        <f t="shared" si="17"/>
        <v>#REF!</v>
      </c>
      <c r="U26" s="8" t="e">
        <f t="shared" si="18"/>
        <v>#REF!</v>
      </c>
      <c r="V26" s="8"/>
      <c r="W26" s="8" t="e">
        <f t="shared" si="19"/>
        <v>#REF!</v>
      </c>
      <c r="X26" s="8" t="e">
        <f t="shared" si="23"/>
        <v>#REF!</v>
      </c>
      <c r="Y26" s="10"/>
    </row>
    <row r="27" spans="1:28" ht="18.75" hidden="1" customHeight="1">
      <c r="A27" s="1">
        <v>6</v>
      </c>
      <c r="B27" s="149" t="s">
        <v>31</v>
      </c>
      <c r="C27" s="150"/>
      <c r="D27" s="7">
        <v>0</v>
      </c>
      <c r="E27" s="7">
        <v>1</v>
      </c>
      <c r="F27" s="7"/>
      <c r="G27" s="7"/>
      <c r="H27" s="7"/>
      <c r="I27" s="7">
        <v>0</v>
      </c>
      <c r="J27" s="7">
        <v>1</v>
      </c>
      <c r="K27" s="8" t="e">
        <f>#REF!*O11</f>
        <v>#REF!</v>
      </c>
      <c r="L27" s="8" t="e">
        <f t="shared" si="20"/>
        <v>#REF!</v>
      </c>
      <c r="M27" s="8"/>
      <c r="N27" s="8" t="e">
        <f t="shared" si="15"/>
        <v>#REF!</v>
      </c>
      <c r="O27" s="8" t="e">
        <f t="shared" si="21"/>
        <v>#REF!</v>
      </c>
      <c r="P27" s="8"/>
      <c r="Q27" s="8" t="e">
        <f t="shared" si="16"/>
        <v>#REF!</v>
      </c>
      <c r="R27" s="8" t="e">
        <f t="shared" si="22"/>
        <v>#REF!</v>
      </c>
      <c r="S27" s="8"/>
      <c r="T27" s="8" t="e">
        <f t="shared" si="17"/>
        <v>#REF!</v>
      </c>
      <c r="U27" s="8" t="e">
        <f t="shared" si="18"/>
        <v>#REF!</v>
      </c>
      <c r="V27" s="8"/>
      <c r="W27" s="8" t="e">
        <f t="shared" si="19"/>
        <v>#REF!</v>
      </c>
      <c r="X27" s="8" t="e">
        <f t="shared" si="23"/>
        <v>#REF!</v>
      </c>
      <c r="Y27" s="10"/>
    </row>
    <row r="28" spans="1:28" ht="18.75" hidden="1" customHeight="1">
      <c r="A28" s="1">
        <v>7</v>
      </c>
      <c r="B28" s="149" t="s">
        <v>33</v>
      </c>
      <c r="C28" s="150"/>
      <c r="D28" s="7">
        <v>0</v>
      </c>
      <c r="E28" s="7">
        <v>0</v>
      </c>
      <c r="F28" s="7"/>
      <c r="G28" s="7"/>
      <c r="H28" s="7"/>
      <c r="I28" s="7">
        <v>2</v>
      </c>
      <c r="J28" s="7">
        <v>0</v>
      </c>
      <c r="K28" s="8" t="e">
        <f>#REF!*O12</f>
        <v>#REF!</v>
      </c>
      <c r="L28" s="8" t="e">
        <f t="shared" si="20"/>
        <v>#REF!</v>
      </c>
      <c r="M28" s="8"/>
      <c r="N28" s="8" t="e">
        <f t="shared" si="15"/>
        <v>#REF!</v>
      </c>
      <c r="O28" s="8" t="e">
        <f t="shared" si="21"/>
        <v>#REF!</v>
      </c>
      <c r="P28" s="8"/>
      <c r="Q28" s="8" t="e">
        <f t="shared" si="16"/>
        <v>#REF!</v>
      </c>
      <c r="R28" s="8" t="e">
        <f t="shared" si="22"/>
        <v>#REF!</v>
      </c>
      <c r="S28" s="8"/>
      <c r="T28" s="8" t="e">
        <f t="shared" si="17"/>
        <v>#REF!</v>
      </c>
      <c r="U28" s="8" t="e">
        <f t="shared" si="18"/>
        <v>#REF!</v>
      </c>
      <c r="V28" s="8"/>
      <c r="W28" s="8" t="e">
        <f t="shared" si="19"/>
        <v>#REF!</v>
      </c>
      <c r="X28" s="8" t="e">
        <f t="shared" si="23"/>
        <v>#REF!</v>
      </c>
      <c r="Y28" s="10"/>
    </row>
    <row r="29" spans="1:28" ht="18.75" hidden="1" customHeight="1">
      <c r="A29" s="1">
        <v>8</v>
      </c>
      <c r="B29" s="149" t="s">
        <v>35</v>
      </c>
      <c r="C29" s="150"/>
      <c r="D29" s="7">
        <v>0</v>
      </c>
      <c r="E29" s="7">
        <v>2</v>
      </c>
      <c r="F29" s="7"/>
      <c r="G29" s="7"/>
      <c r="H29" s="7"/>
      <c r="I29" s="7">
        <v>0</v>
      </c>
      <c r="J29" s="7">
        <v>0</v>
      </c>
      <c r="K29" s="8" t="e">
        <f>#REF!*O13</f>
        <v>#REF!</v>
      </c>
      <c r="L29" s="8" t="e">
        <f t="shared" si="20"/>
        <v>#REF!</v>
      </c>
      <c r="M29" s="8"/>
      <c r="N29" s="8" t="e">
        <f t="shared" si="15"/>
        <v>#REF!</v>
      </c>
      <c r="O29" s="8" t="e">
        <f t="shared" si="21"/>
        <v>#REF!</v>
      </c>
      <c r="P29" s="8"/>
      <c r="Q29" s="8" t="e">
        <f t="shared" si="16"/>
        <v>#REF!</v>
      </c>
      <c r="R29" s="8" t="e">
        <f t="shared" si="22"/>
        <v>#REF!</v>
      </c>
      <c r="S29" s="8"/>
      <c r="T29" s="8" t="e">
        <f t="shared" si="17"/>
        <v>#REF!</v>
      </c>
      <c r="U29" s="8" t="e">
        <f t="shared" si="18"/>
        <v>#REF!</v>
      </c>
      <c r="V29" s="8"/>
      <c r="W29" s="8" t="e">
        <f t="shared" si="19"/>
        <v>#REF!</v>
      </c>
      <c r="X29" s="8" t="e">
        <f t="shared" si="23"/>
        <v>#REF!</v>
      </c>
      <c r="Y29" s="10"/>
    </row>
    <row r="30" spans="1:28" ht="18.75" hidden="1" customHeight="1">
      <c r="A30" s="1">
        <v>9</v>
      </c>
      <c r="B30" s="149" t="s">
        <v>46</v>
      </c>
      <c r="C30" s="150"/>
      <c r="D30" s="7">
        <v>4</v>
      </c>
      <c r="E30" s="7">
        <v>4</v>
      </c>
      <c r="F30" s="7"/>
      <c r="G30" s="7"/>
      <c r="H30" s="7"/>
      <c r="I30" s="7">
        <v>4</v>
      </c>
      <c r="J30" s="7">
        <v>4</v>
      </c>
      <c r="K30" s="8" t="e">
        <f>#REF!*O14</f>
        <v>#REF!</v>
      </c>
      <c r="L30" s="8" t="e">
        <f t="shared" si="20"/>
        <v>#REF!</v>
      </c>
      <c r="M30" s="8"/>
      <c r="N30" s="8" t="e">
        <f t="shared" si="15"/>
        <v>#REF!</v>
      </c>
      <c r="O30" s="8" t="e">
        <f t="shared" si="21"/>
        <v>#REF!</v>
      </c>
      <c r="P30" s="8"/>
      <c r="Q30" s="8" t="e">
        <f t="shared" si="16"/>
        <v>#REF!</v>
      </c>
      <c r="R30" s="8" t="e">
        <f t="shared" si="22"/>
        <v>#REF!</v>
      </c>
      <c r="S30" s="8"/>
      <c r="T30" s="8" t="e">
        <f t="shared" si="17"/>
        <v>#REF!</v>
      </c>
      <c r="U30" s="8" t="e">
        <f t="shared" si="18"/>
        <v>#REF!</v>
      </c>
      <c r="V30" s="8"/>
      <c r="W30" s="8" t="e">
        <f t="shared" si="19"/>
        <v>#REF!</v>
      </c>
      <c r="X30" s="8" t="e">
        <f t="shared" si="23"/>
        <v>#REF!</v>
      </c>
      <c r="Y30" s="10"/>
    </row>
    <row r="31" spans="1:28" ht="18.75" hidden="1" customHeight="1">
      <c r="A31" s="1">
        <v>10</v>
      </c>
      <c r="B31" s="149" t="s">
        <v>38</v>
      </c>
      <c r="C31" s="150"/>
      <c r="D31" s="7">
        <v>0</v>
      </c>
      <c r="E31" s="7">
        <v>0</v>
      </c>
      <c r="F31" s="7"/>
      <c r="G31" s="7"/>
      <c r="H31" s="7"/>
      <c r="I31" s="7">
        <v>0</v>
      </c>
      <c r="J31" s="7">
        <v>0</v>
      </c>
      <c r="K31" s="8" t="e">
        <f>#REF!*O15</f>
        <v>#REF!</v>
      </c>
      <c r="L31" s="8" t="e">
        <f t="shared" si="20"/>
        <v>#REF!</v>
      </c>
      <c r="M31" s="8"/>
      <c r="N31" s="8" t="e">
        <f t="shared" ref="N31:N34" si="24">D31*R15</f>
        <v>#REF!</v>
      </c>
      <c r="O31" s="8" t="e">
        <f t="shared" si="21"/>
        <v>#REF!</v>
      </c>
      <c r="P31" s="8"/>
      <c r="Q31" s="8" t="e">
        <f t="shared" si="16"/>
        <v>#REF!</v>
      </c>
      <c r="R31" s="8" t="e">
        <f t="shared" si="22"/>
        <v>#REF!</v>
      </c>
      <c r="S31" s="8"/>
      <c r="T31" s="8" t="e">
        <f t="shared" si="17"/>
        <v>#REF!</v>
      </c>
      <c r="U31" s="8" t="e">
        <f t="shared" si="18"/>
        <v>#REF!</v>
      </c>
      <c r="V31" s="8"/>
      <c r="W31" s="8" t="e">
        <f t="shared" si="19"/>
        <v>#REF!</v>
      </c>
      <c r="X31" s="8" t="e">
        <f t="shared" si="23"/>
        <v>#REF!</v>
      </c>
      <c r="Y31" s="10"/>
    </row>
    <row r="32" spans="1:28" ht="18.75" hidden="1" customHeight="1">
      <c r="A32" s="1">
        <v>11</v>
      </c>
      <c r="B32" s="149" t="s">
        <v>40</v>
      </c>
      <c r="C32" s="150"/>
      <c r="D32" s="7">
        <v>0</v>
      </c>
      <c r="E32" s="7">
        <v>0</v>
      </c>
      <c r="F32" s="7"/>
      <c r="G32" s="7"/>
      <c r="H32" s="7"/>
      <c r="I32" s="7">
        <v>0</v>
      </c>
      <c r="J32" s="7">
        <v>0</v>
      </c>
      <c r="K32" s="8" t="e">
        <f>#REF!*O16</f>
        <v>#REF!</v>
      </c>
      <c r="L32" s="8" t="e">
        <f t="shared" si="20"/>
        <v>#REF!</v>
      </c>
      <c r="M32" s="8"/>
      <c r="N32" s="8" t="e">
        <f t="shared" si="24"/>
        <v>#REF!</v>
      </c>
      <c r="O32" s="8" t="e">
        <f t="shared" si="21"/>
        <v>#REF!</v>
      </c>
      <c r="P32" s="8"/>
      <c r="Q32" s="8" t="e">
        <f t="shared" si="16"/>
        <v>#REF!</v>
      </c>
      <c r="R32" s="8" t="e">
        <f t="shared" si="22"/>
        <v>#REF!</v>
      </c>
      <c r="S32" s="8"/>
      <c r="T32" s="8" t="e">
        <f t="shared" si="17"/>
        <v>#REF!</v>
      </c>
      <c r="U32" s="8" t="e">
        <f t="shared" si="18"/>
        <v>#REF!</v>
      </c>
      <c r="V32" s="8"/>
      <c r="W32" s="8" t="e">
        <f t="shared" si="19"/>
        <v>#REF!</v>
      </c>
      <c r="X32" s="8" t="e">
        <f t="shared" si="23"/>
        <v>#REF!</v>
      </c>
      <c r="Y32" s="10"/>
    </row>
    <row r="33" spans="1:25" ht="18.75" hidden="1" customHeight="1">
      <c r="A33" s="1">
        <v>12</v>
      </c>
      <c r="B33" s="149" t="s">
        <v>42</v>
      </c>
      <c r="C33" s="150"/>
      <c r="D33" s="7">
        <v>1</v>
      </c>
      <c r="E33" s="7">
        <v>0</v>
      </c>
      <c r="F33" s="7"/>
      <c r="G33" s="7"/>
      <c r="H33" s="7"/>
      <c r="I33" s="7">
        <v>0</v>
      </c>
      <c r="J33" s="7">
        <v>0</v>
      </c>
      <c r="K33" s="8" t="e">
        <f>#REF!*O17</f>
        <v>#REF!</v>
      </c>
      <c r="L33" s="8" t="e">
        <f t="shared" si="20"/>
        <v>#REF!</v>
      </c>
      <c r="M33" s="8"/>
      <c r="N33" s="8" t="e">
        <f t="shared" si="24"/>
        <v>#REF!</v>
      </c>
      <c r="O33" s="8" t="e">
        <f t="shared" si="21"/>
        <v>#REF!</v>
      </c>
      <c r="P33" s="8"/>
      <c r="Q33" s="8" t="e">
        <f t="shared" si="16"/>
        <v>#REF!</v>
      </c>
      <c r="R33" s="8" t="e">
        <f t="shared" si="22"/>
        <v>#REF!</v>
      </c>
      <c r="S33" s="8"/>
      <c r="T33" s="8" t="e">
        <f t="shared" si="17"/>
        <v>#REF!</v>
      </c>
      <c r="U33" s="8" t="e">
        <f t="shared" si="18"/>
        <v>#REF!</v>
      </c>
      <c r="V33" s="8"/>
      <c r="W33" s="8" t="e">
        <f t="shared" si="19"/>
        <v>#REF!</v>
      </c>
      <c r="X33" s="8" t="e">
        <f t="shared" si="23"/>
        <v>#REF!</v>
      </c>
      <c r="Y33" s="10"/>
    </row>
    <row r="34" spans="1:25" ht="18.75" hidden="1" customHeight="1">
      <c r="A34" s="1">
        <v>13</v>
      </c>
      <c r="B34" s="147" t="s">
        <v>44</v>
      </c>
      <c r="C34" s="147"/>
      <c r="D34" s="7">
        <v>0</v>
      </c>
      <c r="E34" s="7">
        <v>1</v>
      </c>
      <c r="F34" s="7"/>
      <c r="G34" s="7"/>
      <c r="H34" s="7"/>
      <c r="I34" s="7">
        <v>0</v>
      </c>
      <c r="J34" s="7">
        <v>0</v>
      </c>
      <c r="K34" s="8" t="e">
        <f>#REF!*O18</f>
        <v>#REF!</v>
      </c>
      <c r="L34" s="8" t="e">
        <f t="shared" si="20"/>
        <v>#REF!</v>
      </c>
      <c r="M34" s="8"/>
      <c r="N34" s="8" t="e">
        <f t="shared" si="24"/>
        <v>#REF!</v>
      </c>
      <c r="O34" s="8" t="e">
        <f t="shared" si="21"/>
        <v>#REF!</v>
      </c>
      <c r="P34" s="8"/>
      <c r="Q34" s="8" t="e">
        <f t="shared" si="16"/>
        <v>#REF!</v>
      </c>
      <c r="R34" s="8" t="e">
        <f t="shared" si="22"/>
        <v>#REF!</v>
      </c>
      <c r="S34" s="8"/>
      <c r="T34" s="8" t="e">
        <f t="shared" si="17"/>
        <v>#REF!</v>
      </c>
      <c r="U34" s="8" t="e">
        <f t="shared" si="18"/>
        <v>#REF!</v>
      </c>
      <c r="V34" s="8"/>
      <c r="W34" s="8" t="e">
        <f t="shared" si="19"/>
        <v>#REF!</v>
      </c>
      <c r="X34" s="8" t="e">
        <f t="shared" si="23"/>
        <v>#REF!</v>
      </c>
      <c r="Y34" s="10"/>
    </row>
    <row r="35" spans="1:25" hidden="1">
      <c r="A35" s="139" t="s">
        <v>8</v>
      </c>
      <c r="B35" s="139"/>
      <c r="C35" s="139"/>
      <c r="D35" s="140"/>
      <c r="E35" s="140"/>
      <c r="F35" s="140"/>
      <c r="G35" s="140"/>
      <c r="H35" s="140"/>
      <c r="I35" s="140"/>
      <c r="J35" s="140"/>
      <c r="K35" s="27" t="e">
        <f>SUM(K22:K34)</f>
        <v>#REF!</v>
      </c>
      <c r="L35" s="27" t="e">
        <f t="shared" ref="L35:X35" si="25">SUM(L22:L34)</f>
        <v>#REF!</v>
      </c>
      <c r="M35" s="27"/>
      <c r="N35" s="8" t="e">
        <f t="shared" si="25"/>
        <v>#REF!</v>
      </c>
      <c r="O35" s="27" t="e">
        <f t="shared" si="25"/>
        <v>#REF!</v>
      </c>
      <c r="P35" s="27"/>
      <c r="Q35" s="8" t="e">
        <f t="shared" si="25"/>
        <v>#REF!</v>
      </c>
      <c r="R35" s="27" t="e">
        <f t="shared" si="25"/>
        <v>#REF!</v>
      </c>
      <c r="S35" s="27"/>
      <c r="T35" s="8" t="e">
        <f t="shared" si="25"/>
        <v>#REF!</v>
      </c>
      <c r="U35" s="27" t="e">
        <f t="shared" si="25"/>
        <v>#REF!</v>
      </c>
      <c r="V35" s="8"/>
      <c r="W35" s="27" t="e">
        <f t="shared" si="25"/>
        <v>#REF!</v>
      </c>
      <c r="X35" s="27" t="e">
        <f t="shared" si="25"/>
        <v>#REF!</v>
      </c>
      <c r="Y35" s="28"/>
    </row>
    <row r="36" spans="1:25" hidden="1">
      <c r="A36" s="141"/>
      <c r="B36" s="142"/>
      <c r="C36" s="142"/>
      <c r="D36" s="142"/>
      <c r="E36" s="142"/>
      <c r="F36" s="142"/>
      <c r="G36" s="142"/>
      <c r="H36" s="142"/>
      <c r="I36" s="142"/>
      <c r="J36" s="142"/>
      <c r="K36" s="143"/>
      <c r="L36" s="144"/>
      <c r="M36" s="29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</row>
    <row r="37" spans="1:25" ht="30.75" hidden="1" customHeight="1">
      <c r="A37" s="145"/>
      <c r="B37" s="140"/>
      <c r="C37" s="140"/>
      <c r="D37" s="140"/>
      <c r="E37" s="140"/>
      <c r="F37" s="140"/>
      <c r="G37" s="140"/>
      <c r="H37" s="140"/>
      <c r="I37" s="140"/>
      <c r="J37" s="140"/>
      <c r="K37" s="135" t="s">
        <v>48</v>
      </c>
      <c r="L37" s="136"/>
      <c r="M37" s="30"/>
      <c r="N37" s="135" t="s">
        <v>49</v>
      </c>
      <c r="O37" s="136"/>
      <c r="P37" s="31"/>
      <c r="Q37" s="23"/>
      <c r="R37" s="23"/>
      <c r="S37" s="23"/>
      <c r="T37" s="23"/>
      <c r="U37" s="23"/>
      <c r="V37" s="23"/>
      <c r="W37" s="23"/>
      <c r="X37" s="23"/>
      <c r="Y37" s="23"/>
    </row>
    <row r="38" spans="1:25" ht="22.5" hidden="1" customHeight="1">
      <c r="A38" s="132" t="s">
        <v>47</v>
      </c>
      <c r="B38" s="133"/>
      <c r="C38" s="133"/>
      <c r="D38" s="133"/>
      <c r="E38" s="133"/>
      <c r="F38" s="133"/>
      <c r="G38" s="133"/>
      <c r="H38" s="133"/>
      <c r="I38" s="133"/>
      <c r="J38" s="134"/>
      <c r="K38" s="137" t="e">
        <f>(K35+N35+Q35+T35+W35)</f>
        <v>#REF!</v>
      </c>
      <c r="L38" s="138"/>
      <c r="M38" s="32"/>
      <c r="N38" s="137" t="e">
        <f>(L35+O35+R35+U35+X35)</f>
        <v>#REF!</v>
      </c>
      <c r="O38" s="138"/>
      <c r="P38" s="33"/>
      <c r="Q38" s="23"/>
      <c r="R38" s="23"/>
      <c r="S38" s="23"/>
      <c r="T38" s="23"/>
      <c r="U38" s="23"/>
      <c r="V38" s="23"/>
      <c r="W38" s="23"/>
      <c r="X38" s="23"/>
      <c r="Y38" s="23"/>
    </row>
    <row r="39" spans="1:25" hidden="1"/>
    <row r="40" spans="1:25" hidden="1"/>
    <row r="41" spans="1:25" hidden="1">
      <c r="B41" s="160" t="s">
        <v>69</v>
      </c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</row>
    <row r="42" spans="1:25" hidden="1">
      <c r="B42" s="36"/>
      <c r="C42" s="36"/>
      <c r="D42" s="36"/>
      <c r="E42" s="36"/>
      <c r="F42" s="36"/>
      <c r="G42" s="36"/>
      <c r="H42" s="36"/>
      <c r="I42" s="36"/>
      <c r="J42" s="36"/>
    </row>
    <row r="43" spans="1:25" ht="63" hidden="1">
      <c r="B43" s="37" t="s">
        <v>77</v>
      </c>
      <c r="C43" s="37" t="s">
        <v>76</v>
      </c>
      <c r="D43" s="38" t="s">
        <v>9</v>
      </c>
      <c r="E43" s="38" t="s">
        <v>10</v>
      </c>
      <c r="F43" s="38"/>
      <c r="G43" s="38"/>
      <c r="H43" s="38"/>
      <c r="I43" s="39" t="s">
        <v>78</v>
      </c>
      <c r="J43" s="36"/>
    </row>
    <row r="44" spans="1:25" hidden="1">
      <c r="B44" s="37">
        <v>1</v>
      </c>
      <c r="C44" s="40" t="s">
        <v>70</v>
      </c>
      <c r="D44" s="41">
        <f>19060+109813</f>
        <v>128873</v>
      </c>
      <c r="E44" s="37">
        <f>20600+115730</f>
        <v>136330</v>
      </c>
      <c r="F44" s="37"/>
      <c r="G44" s="37"/>
      <c r="H44" s="37"/>
      <c r="I44" s="38" t="e">
        <f>(#REF!+D44+E44)/3/1.2*2</f>
        <v>#REF!</v>
      </c>
      <c r="J44" s="36" t="e">
        <f>I44*1.2</f>
        <v>#REF!</v>
      </c>
    </row>
    <row r="45" spans="1:25" hidden="1">
      <c r="B45" s="37">
        <v>2</v>
      </c>
      <c r="C45" s="40" t="s">
        <v>71</v>
      </c>
      <c r="D45" s="42">
        <v>59500</v>
      </c>
      <c r="E45" s="37">
        <v>79409</v>
      </c>
      <c r="F45" s="37"/>
      <c r="G45" s="37"/>
      <c r="H45" s="37"/>
      <c r="I45" s="38" t="e">
        <f>(#REF!+D45+E45)/3/1.2*4</f>
        <v>#REF!</v>
      </c>
      <c r="J45" s="36" t="e">
        <f t="shared" ref="J45:J49" si="26">I45*1.2</f>
        <v>#REF!</v>
      </c>
    </row>
    <row r="46" spans="1:25" hidden="1">
      <c r="B46" s="37">
        <v>3</v>
      </c>
      <c r="C46" s="40" t="s">
        <v>72</v>
      </c>
      <c r="D46" s="42">
        <v>881450</v>
      </c>
      <c r="E46" s="37">
        <v>797000</v>
      </c>
      <c r="F46" s="37"/>
      <c r="G46" s="37"/>
      <c r="H46" s="37"/>
      <c r="I46" s="38" t="e">
        <f>(#REF!+D46+E46)/3/1.2</f>
        <v>#REF!</v>
      </c>
      <c r="J46" s="36" t="e">
        <f t="shared" si="26"/>
        <v>#REF!</v>
      </c>
      <c r="Q46" s="34"/>
      <c r="R46" s="34"/>
      <c r="S46" s="35"/>
      <c r="T46" s="35"/>
    </row>
    <row r="47" spans="1:25" hidden="1">
      <c r="B47" s="37">
        <v>4</v>
      </c>
      <c r="C47" s="40" t="s">
        <v>73</v>
      </c>
      <c r="D47" s="42">
        <v>847498</v>
      </c>
      <c r="E47" s="37">
        <v>733000</v>
      </c>
      <c r="F47" s="37"/>
      <c r="G47" s="37"/>
      <c r="H47" s="37"/>
      <c r="I47" s="38" t="e">
        <f>(#REF!+D47+E47)/3/1.2</f>
        <v>#REF!</v>
      </c>
      <c r="J47" s="36" t="e">
        <f t="shared" si="26"/>
        <v>#REF!</v>
      </c>
    </row>
    <row r="48" spans="1:25" hidden="1">
      <c r="B48" s="37">
        <v>5</v>
      </c>
      <c r="C48" s="40" t="s">
        <v>74</v>
      </c>
      <c r="D48" s="42">
        <v>489941</v>
      </c>
      <c r="E48" s="37">
        <v>434390</v>
      </c>
      <c r="F48" s="37"/>
      <c r="G48" s="37"/>
      <c r="H48" s="37"/>
      <c r="I48" s="38" t="e">
        <f>(#REF!+D48+E48)/3/1.2</f>
        <v>#REF!</v>
      </c>
      <c r="J48" s="36" t="e">
        <f t="shared" si="26"/>
        <v>#REF!</v>
      </c>
    </row>
    <row r="49" spans="2:17" hidden="1">
      <c r="B49" s="38"/>
      <c r="C49" s="43" t="s">
        <v>75</v>
      </c>
      <c r="D49" s="44"/>
      <c r="E49" s="38"/>
      <c r="F49" s="38"/>
      <c r="G49" s="38"/>
      <c r="H49" s="38"/>
      <c r="I49" s="45" t="e">
        <f>SUM(I44:I48)</f>
        <v>#REF!</v>
      </c>
      <c r="J49" s="36" t="e">
        <f t="shared" si="26"/>
        <v>#REF!</v>
      </c>
    </row>
    <row r="50" spans="2:17" hidden="1">
      <c r="B50" s="36"/>
      <c r="C50" s="36"/>
      <c r="D50" s="36"/>
      <c r="E50" s="36"/>
      <c r="F50" s="36"/>
      <c r="G50" s="36"/>
      <c r="H50" s="36"/>
      <c r="I50" s="36"/>
      <c r="J50" s="36"/>
    </row>
    <row r="51" spans="2:17" hidden="1"/>
    <row r="52" spans="2:17" hidden="1"/>
    <row r="53" spans="2:17" hidden="1"/>
    <row r="54" spans="2:17" hidden="1"/>
    <row r="55" spans="2:17" ht="27.75" customHeight="1"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</row>
    <row r="56" spans="2:17" ht="63" hidden="1">
      <c r="B56" s="37" t="s">
        <v>77</v>
      </c>
      <c r="C56" s="37" t="s">
        <v>76</v>
      </c>
      <c r="D56" s="38" t="s">
        <v>9</v>
      </c>
      <c r="E56" s="38" t="s">
        <v>10</v>
      </c>
      <c r="F56" s="38"/>
      <c r="G56" s="38"/>
      <c r="H56" s="38"/>
      <c r="I56" s="39" t="s">
        <v>116</v>
      </c>
      <c r="J56" s="39" t="s">
        <v>115</v>
      </c>
      <c r="N56" s="86"/>
      <c r="O56" s="87"/>
      <c r="P56" s="88"/>
      <c r="Q56" s="23"/>
    </row>
    <row r="57" spans="2:17" ht="24.75" hidden="1" customHeight="1">
      <c r="B57" s="157" t="s">
        <v>113</v>
      </c>
      <c r="C57" s="158"/>
      <c r="D57" s="158"/>
      <c r="E57" s="158"/>
      <c r="F57" s="158"/>
      <c r="G57" s="158"/>
      <c r="H57" s="158"/>
      <c r="I57" s="159"/>
      <c r="J57" s="38">
        <f t="shared" ref="J57:J68" si="27">I57*1.2</f>
        <v>0</v>
      </c>
      <c r="N57" s="86"/>
      <c r="O57" s="87"/>
      <c r="P57" s="88"/>
      <c r="Q57" s="23"/>
    </row>
    <row r="58" spans="2:17" ht="18" hidden="1" customHeight="1">
      <c r="B58" s="37">
        <v>1</v>
      </c>
      <c r="C58" s="93" t="s">
        <v>123</v>
      </c>
      <c r="D58" s="41">
        <f>198427.44+D59+D69</f>
        <v>1297862.21</v>
      </c>
      <c r="E58" s="37">
        <f>202280.4+E59+E69</f>
        <v>1290910.3500000001</v>
      </c>
      <c r="F58" s="37"/>
      <c r="G58" s="37"/>
      <c r="H58" s="37"/>
      <c r="I58" s="38" t="e">
        <f>(#REF!+D58+E58)/3/1.2</f>
        <v>#REF!</v>
      </c>
      <c r="J58" s="38" t="e">
        <f t="shared" si="27"/>
        <v>#REF!</v>
      </c>
      <c r="N58" s="89"/>
      <c r="O58" s="88"/>
      <c r="P58" s="88"/>
      <c r="Q58" s="23"/>
    </row>
    <row r="59" spans="2:17" ht="18" hidden="1" customHeight="1">
      <c r="B59" s="37">
        <v>2</v>
      </c>
      <c r="C59" s="93" t="s">
        <v>110</v>
      </c>
      <c r="D59" s="42">
        <v>212034.77</v>
      </c>
      <c r="E59" s="37">
        <v>216151.95</v>
      </c>
      <c r="F59" s="37"/>
      <c r="G59" s="37"/>
      <c r="H59" s="37"/>
      <c r="I59" s="38" t="e">
        <f>(#REF!+D59+E59)/3/1.2</f>
        <v>#REF!</v>
      </c>
      <c r="J59" s="38" t="e">
        <f t="shared" si="27"/>
        <v>#REF!</v>
      </c>
      <c r="N59" s="89"/>
      <c r="O59" s="88"/>
      <c r="P59" s="88"/>
      <c r="Q59" s="23"/>
    </row>
    <row r="60" spans="2:17" ht="30" hidden="1" customHeight="1">
      <c r="B60" s="37">
        <v>3</v>
      </c>
      <c r="C60" s="98" t="s">
        <v>124</v>
      </c>
      <c r="D60" s="42">
        <f>D61+475494.35</f>
        <v>788711.16999999993</v>
      </c>
      <c r="E60" s="37">
        <f>484727.25+E61</f>
        <v>804025.95</v>
      </c>
      <c r="F60" s="37"/>
      <c r="G60" s="37"/>
      <c r="H60" s="37"/>
      <c r="I60" s="38" t="e">
        <f>(#REF!+D60+E60)/3/1.2</f>
        <v>#REF!</v>
      </c>
      <c r="J60" s="38" t="e">
        <f t="shared" si="27"/>
        <v>#REF!</v>
      </c>
      <c r="N60" s="89"/>
      <c r="O60" s="88"/>
      <c r="P60" s="88"/>
      <c r="Q60" s="23"/>
    </row>
    <row r="61" spans="2:17" ht="18" hidden="1" customHeight="1">
      <c r="B61" s="37">
        <v>4</v>
      </c>
      <c r="C61" s="95" t="s">
        <v>118</v>
      </c>
      <c r="D61" s="42">
        <v>313216.82</v>
      </c>
      <c r="E61" s="37">
        <v>319298.7</v>
      </c>
      <c r="F61" s="37"/>
      <c r="G61" s="37"/>
      <c r="H61" s="37"/>
      <c r="I61" s="38" t="e">
        <f>(#REF!+D61+E61)/3/1.2</f>
        <v>#REF!</v>
      </c>
      <c r="J61" s="38" t="e">
        <f t="shared" si="27"/>
        <v>#REF!</v>
      </c>
      <c r="N61" s="90"/>
      <c r="O61" s="88"/>
      <c r="P61" s="88"/>
      <c r="Q61" s="23"/>
    </row>
    <row r="62" spans="2:17" ht="18" hidden="1" customHeight="1">
      <c r="B62" s="37">
        <v>5</v>
      </c>
      <c r="C62" s="97" t="s">
        <v>125</v>
      </c>
      <c r="D62" s="42">
        <f>404512.5+D63+D64+D70</f>
        <v>898598.20799999987</v>
      </c>
      <c r="E62" s="37">
        <f>385250+E63+E64+E70</f>
        <v>884450</v>
      </c>
      <c r="F62" s="37"/>
      <c r="G62" s="37"/>
      <c r="H62" s="37"/>
      <c r="I62" s="38" t="e">
        <f>(#REF!+D62+E62)/3</f>
        <v>#REF!</v>
      </c>
      <c r="J62" s="38" t="e">
        <f t="shared" si="27"/>
        <v>#REF!</v>
      </c>
      <c r="N62" s="87"/>
      <c r="O62" s="87"/>
      <c r="P62" s="87"/>
      <c r="Q62" s="23"/>
    </row>
    <row r="63" spans="2:17" ht="18" hidden="1" customHeight="1">
      <c r="B63" s="37">
        <v>6</v>
      </c>
      <c r="C63" s="97" t="s">
        <v>119</v>
      </c>
      <c r="D63" s="42">
        <v>20160</v>
      </c>
      <c r="E63" s="37">
        <v>19200</v>
      </c>
      <c r="F63" s="37"/>
      <c r="G63" s="37"/>
      <c r="H63" s="37"/>
      <c r="I63" s="38" t="e">
        <f>(#REF!+D63+E63)/3/1.2</f>
        <v>#REF!</v>
      </c>
      <c r="J63" s="38" t="e">
        <f t="shared" si="27"/>
        <v>#REF!</v>
      </c>
    </row>
    <row r="64" spans="2:17" ht="18" hidden="1" customHeight="1">
      <c r="B64" s="37">
        <v>7</v>
      </c>
      <c r="C64" s="97" t="s">
        <v>120</v>
      </c>
      <c r="D64" s="42">
        <v>31500</v>
      </c>
      <c r="E64" s="37">
        <v>30000</v>
      </c>
      <c r="F64" s="37"/>
      <c r="G64" s="37"/>
      <c r="H64" s="37"/>
      <c r="I64" s="38" t="e">
        <f>(#REF!+D64+E64)/3/1.2</f>
        <v>#REF!</v>
      </c>
      <c r="J64" s="38" t="e">
        <f t="shared" si="27"/>
        <v>#REF!</v>
      </c>
    </row>
    <row r="65" spans="2:14" ht="39" hidden="1" customHeight="1">
      <c r="B65" s="37">
        <v>8</v>
      </c>
      <c r="C65" s="94" t="s">
        <v>126</v>
      </c>
      <c r="D65" s="42">
        <f>108360+D66</f>
        <v>124005</v>
      </c>
      <c r="E65" s="37">
        <f>103200+E66</f>
        <v>117200</v>
      </c>
      <c r="F65" s="37"/>
      <c r="G65" s="37"/>
      <c r="H65" s="37"/>
      <c r="I65" s="38" t="e">
        <f>(#REF!+D65+E65)/3</f>
        <v>#REF!</v>
      </c>
      <c r="J65" s="38" t="e">
        <f t="shared" si="27"/>
        <v>#REF!</v>
      </c>
    </row>
    <row r="66" spans="2:14" ht="14.25" hidden="1" customHeight="1">
      <c r="B66" s="37">
        <v>9</v>
      </c>
      <c r="C66" s="94" t="s">
        <v>122</v>
      </c>
      <c r="D66" s="41">
        <v>15645</v>
      </c>
      <c r="E66" s="37">
        <v>14000</v>
      </c>
      <c r="F66" s="37"/>
      <c r="G66" s="37"/>
      <c r="H66" s="37"/>
      <c r="I66" s="38" t="e">
        <f>(#REF!+D66+E66)/3/1.2</f>
        <v>#REF!</v>
      </c>
      <c r="J66" s="38" t="e">
        <f t="shared" si="27"/>
        <v>#REF!</v>
      </c>
    </row>
    <row r="67" spans="2:14" hidden="1">
      <c r="B67" s="37">
        <v>10</v>
      </c>
      <c r="C67" s="40"/>
      <c r="D67" s="41"/>
      <c r="E67" s="37"/>
      <c r="F67" s="37"/>
      <c r="G67" s="37"/>
      <c r="H67" s="37"/>
      <c r="I67" s="38" t="e">
        <f>I58+I59+I60+I61+I62+I63+I64+I65+I66</f>
        <v>#REF!</v>
      </c>
      <c r="J67" s="38" t="e">
        <f t="shared" si="27"/>
        <v>#REF!</v>
      </c>
    </row>
    <row r="68" spans="2:14" hidden="1">
      <c r="B68" s="37">
        <v>11</v>
      </c>
      <c r="C68" s="40"/>
      <c r="D68" s="41"/>
      <c r="E68" s="37"/>
      <c r="F68" s="37"/>
      <c r="G68" s="37"/>
      <c r="H68" s="37"/>
      <c r="I68" s="38"/>
      <c r="J68" s="38">
        <f t="shared" si="27"/>
        <v>0</v>
      </c>
    </row>
    <row r="69" spans="2:14" hidden="1">
      <c r="B69" s="37">
        <v>12</v>
      </c>
      <c r="C69" s="93" t="s">
        <v>114</v>
      </c>
      <c r="D69" s="41">
        <f>(48800+49800)*9</f>
        <v>887400</v>
      </c>
      <c r="E69" s="37">
        <f>(43656+53286)*9</f>
        <v>872478</v>
      </c>
      <c r="F69" s="37"/>
      <c r="G69" s="37"/>
      <c r="H69" s="37"/>
      <c r="I69" s="38" t="e">
        <f>(#REF!+D69+E69)/3/1.2</f>
        <v>#REF!</v>
      </c>
      <c r="J69" s="38" t="e">
        <f>I69*1.2</f>
        <v>#REF!</v>
      </c>
    </row>
    <row r="70" spans="2:14" hidden="1">
      <c r="B70" s="37">
        <v>13</v>
      </c>
      <c r="C70" s="97" t="s">
        <v>111</v>
      </c>
      <c r="D70" s="41">
        <f>122896.03*3*1.2</f>
        <v>442425.70799999993</v>
      </c>
      <c r="E70" s="37">
        <f>125000*3*1.2</f>
        <v>450000</v>
      </c>
      <c r="F70" s="37"/>
      <c r="G70" s="37"/>
      <c r="H70" s="37"/>
      <c r="I70" s="38" t="e">
        <f>(#REF!+D70+E70)/3</f>
        <v>#REF!</v>
      </c>
      <c r="J70" s="38" t="e">
        <f t="shared" ref="J70:J71" si="28">I70*1.2</f>
        <v>#REF!</v>
      </c>
    </row>
    <row r="71" spans="2:14" ht="57.75" hidden="1" customHeight="1">
      <c r="B71" s="37">
        <v>14</v>
      </c>
      <c r="C71" s="40" t="s">
        <v>112</v>
      </c>
      <c r="D71" s="41">
        <f>80940*5</f>
        <v>404700</v>
      </c>
      <c r="E71" s="99">
        <f>86605.8*5</f>
        <v>433029</v>
      </c>
      <c r="F71" s="99"/>
      <c r="G71" s="99"/>
      <c r="H71" s="99"/>
      <c r="I71" s="38" t="e">
        <f>(#REF!+D71+E71)/3/1.2</f>
        <v>#REF!</v>
      </c>
      <c r="J71" s="100" t="e">
        <f t="shared" si="28"/>
        <v>#REF!</v>
      </c>
      <c r="K71" s="101"/>
    </row>
    <row r="72" spans="2:14" hidden="1">
      <c r="B72" s="162" t="s">
        <v>117</v>
      </c>
      <c r="C72" s="162"/>
      <c r="D72" s="162"/>
      <c r="E72" s="163"/>
      <c r="F72" s="91"/>
      <c r="G72" s="91"/>
      <c r="H72" s="91"/>
      <c r="I72" s="38" t="e">
        <f>I58+I60+I62+I65+I71</f>
        <v>#REF!</v>
      </c>
      <c r="J72" s="38" t="e">
        <f>I72*1.2</f>
        <v>#REF!</v>
      </c>
    </row>
    <row r="73" spans="2:14" hidden="1">
      <c r="I73" s="12" t="e">
        <f>I58+I60+I62+I65+I71</f>
        <v>#REF!</v>
      </c>
    </row>
    <row r="74" spans="2:14" hidden="1">
      <c r="I74" s="12">
        <f>2923000</f>
        <v>2923000</v>
      </c>
    </row>
    <row r="75" spans="2:14" hidden="1">
      <c r="I75" s="12" t="e">
        <f>I74-I73</f>
        <v>#REF!</v>
      </c>
    </row>
    <row r="76" spans="2:14" hidden="1">
      <c r="B76" s="99">
        <v>1</v>
      </c>
      <c r="C76" s="93" t="s">
        <v>123</v>
      </c>
      <c r="D76" s="41">
        <v>1297862.21</v>
      </c>
      <c r="E76" s="41">
        <v>1290910.3500000001</v>
      </c>
      <c r="F76" s="41"/>
      <c r="G76" s="41"/>
      <c r="H76" s="41"/>
      <c r="I76" s="38">
        <v>1066658.2111111111</v>
      </c>
      <c r="J76" s="38" t="e">
        <f>(#REF!+D76+E76)/3</f>
        <v>#REF!</v>
      </c>
    </row>
    <row r="77" spans="2:14" ht="36" hidden="1" customHeight="1">
      <c r="B77" s="99">
        <v>3</v>
      </c>
      <c r="C77" s="102" t="s">
        <v>128</v>
      </c>
      <c r="D77" s="42">
        <v>788711.16999999993</v>
      </c>
      <c r="E77" s="42">
        <v>804025.95</v>
      </c>
      <c r="F77" s="42"/>
      <c r="G77" s="42"/>
      <c r="H77" s="42"/>
      <c r="I77" s="38">
        <v>655132.25555555557</v>
      </c>
      <c r="J77" s="38" t="e">
        <f>(#REF!+D77+E77)/3</f>
        <v>#REF!</v>
      </c>
      <c r="L77" s="12">
        <v>1066.6582111111099</v>
      </c>
      <c r="M77" s="12">
        <v>1279.9898533333333</v>
      </c>
    </row>
    <row r="78" spans="2:14" hidden="1">
      <c r="B78" s="99">
        <v>5</v>
      </c>
      <c r="C78" s="97" t="s">
        <v>125</v>
      </c>
      <c r="D78" s="42">
        <v>898598.2080000001</v>
      </c>
      <c r="E78" s="42">
        <v>884450</v>
      </c>
      <c r="F78" s="42"/>
      <c r="G78" s="42"/>
      <c r="H78" s="42"/>
      <c r="I78" s="38">
        <f>748366.363333333-J84</f>
        <v>622285.19999999949</v>
      </c>
      <c r="J78" s="38">
        <f>I78*1.2</f>
        <v>746742.23999999941</v>
      </c>
      <c r="L78" s="12">
        <v>655.13225555555562</v>
      </c>
      <c r="M78" s="12">
        <v>786.15870666666672</v>
      </c>
    </row>
    <row r="79" spans="2:14" hidden="1">
      <c r="B79" s="99">
        <v>8</v>
      </c>
      <c r="C79" s="96" t="s">
        <v>121</v>
      </c>
      <c r="D79" s="42">
        <v>124005</v>
      </c>
      <c r="E79" s="42">
        <v>117200</v>
      </c>
      <c r="F79" s="42"/>
      <c r="G79" s="42"/>
      <c r="H79" s="42"/>
      <c r="I79" s="38">
        <v>102103.33333333334</v>
      </c>
      <c r="J79" s="38" t="e">
        <f>(#REF!+D79+E79)/3</f>
        <v>#REF!</v>
      </c>
      <c r="L79" s="12">
        <v>748.36636333333331</v>
      </c>
      <c r="M79" s="12">
        <v>898.03963599999997</v>
      </c>
      <c r="N79" s="12">
        <v>1000</v>
      </c>
    </row>
    <row r="80" spans="2:14" hidden="1">
      <c r="B80" s="99">
        <v>14</v>
      </c>
      <c r="C80" s="40" t="s">
        <v>112</v>
      </c>
      <c r="D80" s="41">
        <v>404700</v>
      </c>
      <c r="E80" s="41">
        <v>433029</v>
      </c>
      <c r="F80" s="41"/>
      <c r="G80" s="41"/>
      <c r="H80" s="41"/>
      <c r="I80" s="38">
        <v>350740</v>
      </c>
      <c r="J80" s="38" t="e">
        <f>(#REF!+D80+E80)/3</f>
        <v>#REF!</v>
      </c>
      <c r="L80" s="12">
        <v>102.10333333333334</v>
      </c>
      <c r="M80" s="12">
        <v>122.524</v>
      </c>
    </row>
    <row r="81" spans="3:13" hidden="1">
      <c r="I81" s="38">
        <f>I76+I77+I78+I79+I80</f>
        <v>2796918.9999999995</v>
      </c>
      <c r="J81" s="38" t="e">
        <f>J76+J77+J78+J79+J80</f>
        <v>#REF!</v>
      </c>
      <c r="L81" s="12">
        <v>350.74</v>
      </c>
      <c r="M81" s="12">
        <v>420.88799999999998</v>
      </c>
    </row>
    <row r="82" spans="3:13" hidden="1">
      <c r="L82" s="12">
        <v>2923.0001633333336</v>
      </c>
      <c r="M82" s="12">
        <v>3507.6001959999999</v>
      </c>
    </row>
    <row r="83" spans="3:13" hidden="1">
      <c r="J83" s="38"/>
    </row>
    <row r="84" spans="3:13" hidden="1">
      <c r="I84" s="12">
        <f>I81-I86</f>
        <v>0</v>
      </c>
      <c r="J84" s="38">
        <v>126081.16333333356</v>
      </c>
    </row>
    <row r="85" spans="3:13" hidden="1">
      <c r="C85" s="12" t="s">
        <v>127</v>
      </c>
      <c r="J85" s="38"/>
    </row>
    <row r="86" spans="3:13" hidden="1">
      <c r="G86" s="12">
        <v>2796919</v>
      </c>
      <c r="I86" s="103">
        <v>2796919</v>
      </c>
      <c r="J86" s="38">
        <f>I86*1.2</f>
        <v>3356302.8</v>
      </c>
    </row>
    <row r="87" spans="3:13" hidden="1">
      <c r="J87" s="38"/>
    </row>
    <row r="88" spans="3:13" hidden="1"/>
    <row r="89" spans="3:13" hidden="1"/>
    <row r="90" spans="3:13" hidden="1"/>
    <row r="91" spans="3:13" hidden="1">
      <c r="D91" s="12">
        <v>898598.20799999998</v>
      </c>
      <c r="E91" s="12">
        <v>884450</v>
      </c>
      <c r="I91" s="12">
        <v>622285.19999999949</v>
      </c>
      <c r="J91" s="12">
        <v>746742.23999999894</v>
      </c>
    </row>
    <row r="92" spans="3:13" hidden="1">
      <c r="D92" s="12">
        <v>248914.07999999964</v>
      </c>
      <c r="E92" s="12">
        <f>248914.08+4514</f>
        <v>253428.08</v>
      </c>
      <c r="I92" s="12" t="e">
        <f>(#REF!+D92+E92)/3</f>
        <v>#REF!</v>
      </c>
      <c r="J92" s="12">
        <f>J91/3</f>
        <v>248914.07999999964</v>
      </c>
    </row>
    <row r="93" spans="3:13" hidden="1"/>
    <row r="94" spans="3:13" hidden="1"/>
    <row r="95" spans="3:13">
      <c r="C95" s="131" t="s">
        <v>143</v>
      </c>
      <c r="D95" s="131"/>
      <c r="E95" s="131"/>
      <c r="F95" s="131"/>
      <c r="G95" s="131"/>
      <c r="H95" s="131"/>
      <c r="I95" s="131"/>
      <c r="J95" s="131"/>
    </row>
    <row r="96" spans="3:13">
      <c r="C96" s="120"/>
      <c r="D96" s="120"/>
      <c r="E96" s="120"/>
      <c r="F96" s="120" t="s">
        <v>142</v>
      </c>
      <c r="G96" s="120"/>
      <c r="H96" s="120"/>
      <c r="I96" s="120"/>
      <c r="J96" s="120"/>
    </row>
    <row r="97" spans="1:22">
      <c r="C97" s="125" t="s">
        <v>144</v>
      </c>
      <c r="D97" s="120"/>
      <c r="E97" s="120"/>
      <c r="F97" s="120"/>
      <c r="G97" s="120"/>
      <c r="H97" s="120"/>
      <c r="I97" s="120"/>
      <c r="J97" s="120"/>
    </row>
    <row r="98" spans="1:22">
      <c r="C98" s="125"/>
      <c r="D98" s="120"/>
      <c r="E98" s="120"/>
      <c r="F98" s="120"/>
      <c r="G98" s="120"/>
      <c r="H98" s="120"/>
      <c r="I98" s="120"/>
      <c r="J98" s="120"/>
    </row>
    <row r="99" spans="1:22" ht="45">
      <c r="B99" s="122" t="s">
        <v>77</v>
      </c>
      <c r="C99" s="123" t="s">
        <v>146</v>
      </c>
      <c r="D99" s="121" t="s">
        <v>135</v>
      </c>
      <c r="E99" s="121" t="s">
        <v>129</v>
      </c>
      <c r="F99" s="121" t="s">
        <v>134</v>
      </c>
      <c r="G99" s="115"/>
      <c r="H99" s="115"/>
      <c r="I99" s="124" t="s">
        <v>140</v>
      </c>
      <c r="J99" s="124" t="s">
        <v>141</v>
      </c>
    </row>
    <row r="100" spans="1:22">
      <c r="B100" s="110"/>
      <c r="C100" s="110"/>
      <c r="D100" s="110" t="s">
        <v>139</v>
      </c>
      <c r="E100" s="110" t="s">
        <v>133</v>
      </c>
      <c r="F100" s="110" t="s">
        <v>133</v>
      </c>
      <c r="G100" s="110"/>
      <c r="H100" s="110"/>
      <c r="I100" s="110" t="s">
        <v>139</v>
      </c>
      <c r="J100" s="110" t="s">
        <v>133</v>
      </c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</row>
    <row r="101" spans="1:22" s="104" customFormat="1">
      <c r="A101" s="105"/>
      <c r="B101" s="110">
        <v>1</v>
      </c>
      <c r="C101" s="109" t="s">
        <v>131</v>
      </c>
      <c r="D101" s="113">
        <v>220000</v>
      </c>
      <c r="E101" s="114">
        <v>453726</v>
      </c>
      <c r="F101" s="111">
        <f>221000</f>
        <v>221000</v>
      </c>
      <c r="G101" s="110"/>
      <c r="H101" s="110"/>
      <c r="I101" s="117">
        <f>(F101/1.2+E101/1.2+D101)/3</f>
        <v>260757.22222222225</v>
      </c>
      <c r="J101" s="116">
        <f>I101*1.2</f>
        <v>312908.66666666669</v>
      </c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</row>
    <row r="102" spans="1:22" ht="31.5">
      <c r="B102" s="110"/>
      <c r="C102" s="112" t="s">
        <v>130</v>
      </c>
      <c r="D102" s="108"/>
      <c r="E102" s="108"/>
      <c r="F102" s="108"/>
      <c r="G102" s="108"/>
      <c r="H102" s="108"/>
      <c r="I102" s="111"/>
      <c r="J102" s="111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</row>
    <row r="103" spans="1:22" s="104" customFormat="1" ht="94.5">
      <c r="A103" s="105"/>
      <c r="B103" s="110"/>
      <c r="C103" s="112" t="s">
        <v>132</v>
      </c>
      <c r="D103" s="110"/>
      <c r="E103" s="110"/>
      <c r="F103" s="110"/>
      <c r="G103" s="110"/>
      <c r="H103" s="110"/>
      <c r="I103" s="116"/>
      <c r="J103" s="110"/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  <c r="V103" s="105"/>
    </row>
    <row r="105" spans="1:22">
      <c r="C105" s="125" t="s">
        <v>147</v>
      </c>
    </row>
    <row r="106" spans="1:22">
      <c r="K106" s="105"/>
      <c r="L106" s="105"/>
      <c r="M106" s="105"/>
      <c r="N106" s="105"/>
      <c r="O106" s="105"/>
      <c r="P106" s="105"/>
      <c r="Q106" s="105"/>
      <c r="R106" s="105"/>
      <c r="S106" s="105"/>
      <c r="T106" s="105"/>
      <c r="U106" s="105"/>
      <c r="V106" s="105"/>
    </row>
    <row r="107" spans="1:22" ht="31.5">
      <c r="B107" s="122" t="s">
        <v>77</v>
      </c>
      <c r="C107" s="123" t="s">
        <v>146</v>
      </c>
      <c r="D107" s="121" t="s">
        <v>138</v>
      </c>
      <c r="E107" s="121" t="s">
        <v>136</v>
      </c>
      <c r="F107" s="121" t="s">
        <v>137</v>
      </c>
      <c r="G107" s="115"/>
      <c r="H107" s="115"/>
      <c r="I107" s="124" t="s">
        <v>140</v>
      </c>
      <c r="J107" s="124" t="s">
        <v>141</v>
      </c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</row>
    <row r="108" spans="1:22">
      <c r="B108" s="122"/>
      <c r="C108" s="123"/>
      <c r="D108" s="110" t="s">
        <v>139</v>
      </c>
      <c r="E108" s="110" t="s">
        <v>133</v>
      </c>
      <c r="F108" s="110" t="s">
        <v>133</v>
      </c>
      <c r="G108" s="115"/>
      <c r="H108" s="115"/>
      <c r="I108" s="110" t="s">
        <v>139</v>
      </c>
      <c r="J108" s="124" t="s">
        <v>133</v>
      </c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</row>
    <row r="109" spans="1:22" ht="47.25">
      <c r="B109" s="110">
        <v>2</v>
      </c>
      <c r="C109" s="109" t="s">
        <v>149</v>
      </c>
      <c r="D109" s="113">
        <v>1031224</v>
      </c>
      <c r="E109" s="114">
        <v>767293</v>
      </c>
      <c r="F109" s="111">
        <v>872752.22</v>
      </c>
      <c r="G109" s="110"/>
      <c r="H109" s="110"/>
      <c r="I109" s="117">
        <f>(F109+E109/1.2+D109/1.2)/3</f>
        <v>790505.46222222224</v>
      </c>
      <c r="J109" s="116">
        <f>I109*1.2</f>
        <v>948606.55466666666</v>
      </c>
      <c r="K109" s="105"/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  <c r="V109" s="105"/>
    </row>
    <row r="111" spans="1:22">
      <c r="C111" s="125" t="s">
        <v>145</v>
      </c>
    </row>
    <row r="113" spans="2:11" ht="31.5">
      <c r="B113" s="122" t="s">
        <v>77</v>
      </c>
      <c r="C113" s="123" t="s">
        <v>146</v>
      </c>
      <c r="D113" s="121"/>
      <c r="E113" s="121"/>
      <c r="F113" s="121"/>
      <c r="G113" s="115"/>
      <c r="H113" s="115"/>
      <c r="I113" s="124" t="s">
        <v>140</v>
      </c>
      <c r="J113" s="124" t="s">
        <v>141</v>
      </c>
    </row>
    <row r="114" spans="2:11">
      <c r="B114" s="126"/>
      <c r="C114" s="126"/>
      <c r="D114" s="126"/>
      <c r="E114" s="126"/>
      <c r="F114" s="126"/>
      <c r="G114" s="126"/>
      <c r="H114" s="126"/>
      <c r="I114" s="126" t="s">
        <v>139</v>
      </c>
      <c r="J114" s="126" t="s">
        <v>133</v>
      </c>
    </row>
    <row r="115" spans="2:11">
      <c r="B115" s="126">
        <v>1</v>
      </c>
      <c r="C115" s="123" t="s">
        <v>131</v>
      </c>
      <c r="D115" s="127"/>
      <c r="E115" s="127"/>
      <c r="F115" s="127"/>
      <c r="G115" s="127"/>
      <c r="H115" s="127"/>
      <c r="I115" s="128">
        <f>I101</f>
        <v>260757.22222222225</v>
      </c>
      <c r="J115" s="128">
        <f>J101</f>
        <v>312908.66666666669</v>
      </c>
    </row>
    <row r="116" spans="2:11" ht="47.25">
      <c r="B116" s="126">
        <v>2</v>
      </c>
      <c r="C116" s="123" t="s">
        <v>149</v>
      </c>
      <c r="D116" s="127"/>
      <c r="E116" s="127"/>
      <c r="F116" s="127"/>
      <c r="G116" s="127"/>
      <c r="H116" s="127"/>
      <c r="I116" s="128">
        <f>I109</f>
        <v>790505.46222222224</v>
      </c>
      <c r="J116" s="128">
        <f>J109</f>
        <v>948606.55466666666</v>
      </c>
      <c r="K116" s="119"/>
    </row>
    <row r="117" spans="2:11" ht="47.25">
      <c r="B117" s="126">
        <v>3</v>
      </c>
      <c r="C117" s="123" t="s">
        <v>150</v>
      </c>
      <c r="D117" s="127"/>
      <c r="E117" s="127"/>
      <c r="F117" s="127"/>
      <c r="G117" s="127"/>
      <c r="H117" s="127"/>
      <c r="I117" s="129">
        <v>361830</v>
      </c>
      <c r="J117" s="127">
        <f>I117*1.2</f>
        <v>434196</v>
      </c>
      <c r="K117" s="119"/>
    </row>
    <row r="118" spans="2:11">
      <c r="B118" s="127"/>
      <c r="C118" s="127" t="s">
        <v>148</v>
      </c>
      <c r="D118" s="127"/>
      <c r="E118" s="127"/>
      <c r="F118" s="127"/>
      <c r="G118" s="127"/>
      <c r="H118" s="127"/>
      <c r="I118" s="128">
        <f>I115+I116+I117</f>
        <v>1413092.6844444445</v>
      </c>
      <c r="J118" s="130">
        <f>J115+J116+J117</f>
        <v>1695711.2213333333</v>
      </c>
    </row>
    <row r="119" spans="2:11">
      <c r="B119" s="108"/>
      <c r="C119" s="108" t="s">
        <v>151</v>
      </c>
      <c r="D119" s="108"/>
      <c r="E119" s="108"/>
      <c r="F119" s="108"/>
      <c r="G119" s="108"/>
      <c r="H119" s="108"/>
      <c r="I119" s="128">
        <f>I109+I117</f>
        <v>1152335.4622222222</v>
      </c>
      <c r="J119" s="117">
        <f>J109+J117</f>
        <v>1382802.5546666668</v>
      </c>
    </row>
  </sheetData>
  <mergeCells count="80">
    <mergeCell ref="AB4:AB5"/>
    <mergeCell ref="B31:C31"/>
    <mergeCell ref="B32:C32"/>
    <mergeCell ref="E16:I16"/>
    <mergeCell ref="E17:I17"/>
    <mergeCell ref="B30:C30"/>
    <mergeCell ref="J17:K17"/>
    <mergeCell ref="E12:I12"/>
    <mergeCell ref="J12:K12"/>
    <mergeCell ref="E18:I18"/>
    <mergeCell ref="J18:K18"/>
    <mergeCell ref="E15:I15"/>
    <mergeCell ref="J15:K15"/>
    <mergeCell ref="E13:I13"/>
    <mergeCell ref="B29:C29"/>
    <mergeCell ref="B28:C28"/>
    <mergeCell ref="J6:K6"/>
    <mergeCell ref="E6:I6"/>
    <mergeCell ref="J8:K8"/>
    <mergeCell ref="E7:I7"/>
    <mergeCell ref="A1:O1"/>
    <mergeCell ref="A2:O2"/>
    <mergeCell ref="A4:A5"/>
    <mergeCell ref="B4:B5"/>
    <mergeCell ref="C4:C5"/>
    <mergeCell ref="E4:I4"/>
    <mergeCell ref="J4:K4"/>
    <mergeCell ref="L4:L5"/>
    <mergeCell ref="N4:N5"/>
    <mergeCell ref="AA4:AA5"/>
    <mergeCell ref="D5:K5"/>
    <mergeCell ref="O4:O5"/>
    <mergeCell ref="Q4:Q5"/>
    <mergeCell ref="R4:R5"/>
    <mergeCell ref="T4:T5"/>
    <mergeCell ref="U4:U5"/>
    <mergeCell ref="W4:W5"/>
    <mergeCell ref="M4:M5"/>
    <mergeCell ref="P4:P5"/>
    <mergeCell ref="S4:S5"/>
    <mergeCell ref="V4:V5"/>
    <mergeCell ref="Y4:Y5"/>
    <mergeCell ref="X4:X5"/>
    <mergeCell ref="Z4:Z5"/>
    <mergeCell ref="E8:I8"/>
    <mergeCell ref="E9:I9"/>
    <mergeCell ref="J9:K9"/>
    <mergeCell ref="E10:I10"/>
    <mergeCell ref="J10:K10"/>
    <mergeCell ref="E11:I11"/>
    <mergeCell ref="J11:K11"/>
    <mergeCell ref="J16:K16"/>
    <mergeCell ref="J13:K13"/>
    <mergeCell ref="E14:I14"/>
    <mergeCell ref="J14:K14"/>
    <mergeCell ref="A35:J35"/>
    <mergeCell ref="A36:J36"/>
    <mergeCell ref="K36:L36"/>
    <mergeCell ref="A37:J37"/>
    <mergeCell ref="J7:K7"/>
    <mergeCell ref="B34:C34"/>
    <mergeCell ref="E19:I19"/>
    <mergeCell ref="J19:K19"/>
    <mergeCell ref="B21:C21"/>
    <mergeCell ref="B22:C22"/>
    <mergeCell ref="B23:C23"/>
    <mergeCell ref="B24:C24"/>
    <mergeCell ref="B25:C25"/>
    <mergeCell ref="B26:C26"/>
    <mergeCell ref="B27:C27"/>
    <mergeCell ref="B33:C33"/>
    <mergeCell ref="C95:J95"/>
    <mergeCell ref="A38:J38"/>
    <mergeCell ref="K37:L37"/>
    <mergeCell ref="N37:O37"/>
    <mergeCell ref="K38:L38"/>
    <mergeCell ref="N38:O38"/>
    <mergeCell ref="B57:I57"/>
    <mergeCell ref="B72:E72"/>
    <mergeCell ref="B41:P41"/>
  </mergeCells>
  <hyperlinks>
    <hyperlink ref="D99" r:id="rId1"/>
    <hyperlink ref="E99" r:id="rId2"/>
    <hyperlink ref="F99" r:id="rId3"/>
    <hyperlink ref="I117" r:id="rId4" display="Материалы по обоснованию расчета\3.ЛСР\Р_001_ЛСР_сигнализТП_2025.xlsx"/>
    <hyperlink ref="D107" r:id="rId5"/>
    <hyperlink ref="E107" r:id="rId6"/>
    <hyperlink ref="F107" r:id="rId7"/>
  </hyperlinks>
  <pageMargins left="0.31496062992125984" right="0.31496062992125984" top="0.35433070866141736" bottom="0.15748031496062992" header="0.31496062992125984" footer="0.31496062992125984"/>
  <pageSetup paperSize="9" scale="45" orientation="landscape" r:id="rId8"/>
  <rowBreaks count="1" manualBreakCount="1">
    <brk id="64" max="16383" man="1"/>
  </rowBreaks>
  <colBreaks count="1" manualBreakCount="1">
    <brk id="27" max="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view="pageBreakPreview" topLeftCell="C1" zoomScale="60" zoomScaleNormal="80" workbookViewId="0">
      <selection activeCell="D29" sqref="D29"/>
    </sheetView>
  </sheetViews>
  <sheetFormatPr defaultRowHeight="15"/>
  <cols>
    <col min="1" max="2" width="0" hidden="1" customWidth="1"/>
    <col min="3" max="3" width="78" customWidth="1"/>
    <col min="4" max="4" width="20" style="46" customWidth="1"/>
    <col min="5" max="5" width="26.85546875" customWidth="1"/>
    <col min="6" max="6" width="9" style="53" customWidth="1"/>
    <col min="7" max="7" width="78.28515625" customWidth="1"/>
    <col min="8" max="8" width="24" customWidth="1"/>
    <col min="9" max="9" width="26.42578125" customWidth="1"/>
    <col min="10" max="10" width="34.5703125" customWidth="1"/>
  </cols>
  <sheetData>
    <row r="1" spans="1:12" ht="120.75" customHeight="1">
      <c r="A1" s="50"/>
      <c r="B1" s="165" t="s">
        <v>104</v>
      </c>
      <c r="C1" s="165"/>
      <c r="D1" s="165"/>
      <c r="E1" s="165"/>
      <c r="F1" s="52"/>
      <c r="G1" s="165" t="s">
        <v>108</v>
      </c>
      <c r="H1" s="165"/>
      <c r="I1" s="165"/>
      <c r="J1" s="173" t="s">
        <v>107</v>
      </c>
      <c r="K1" s="173"/>
      <c r="L1" s="173"/>
    </row>
    <row r="2" spans="1:12" ht="20.25">
      <c r="A2" s="51"/>
      <c r="B2" s="47"/>
      <c r="C2" s="54" t="s">
        <v>79</v>
      </c>
      <c r="D2" s="54" t="s">
        <v>105</v>
      </c>
      <c r="E2" s="54" t="s">
        <v>80</v>
      </c>
      <c r="F2" s="55"/>
      <c r="G2" s="54" t="s">
        <v>79</v>
      </c>
      <c r="H2" s="54" t="s">
        <v>105</v>
      </c>
      <c r="I2" s="54" t="s">
        <v>80</v>
      </c>
      <c r="J2" s="56"/>
      <c r="K2" s="51"/>
      <c r="L2" s="51"/>
    </row>
    <row r="3" spans="1:12" ht="18.75" customHeight="1">
      <c r="A3" s="51"/>
      <c r="B3" s="171"/>
      <c r="C3" s="170" t="s">
        <v>81</v>
      </c>
      <c r="D3" s="54"/>
      <c r="E3" s="172"/>
      <c r="F3" s="169"/>
      <c r="G3" s="170" t="s">
        <v>81</v>
      </c>
      <c r="H3" s="54"/>
      <c r="I3" s="172"/>
      <c r="J3" s="56"/>
      <c r="K3" s="51"/>
      <c r="L3" s="51"/>
    </row>
    <row r="4" spans="1:12" ht="18.75" customHeight="1">
      <c r="A4" s="51"/>
      <c r="B4" s="171"/>
      <c r="C4" s="170"/>
      <c r="D4" s="54"/>
      <c r="E4" s="172"/>
      <c r="F4" s="169"/>
      <c r="G4" s="170"/>
      <c r="H4" s="56"/>
      <c r="I4" s="172"/>
      <c r="J4" s="56"/>
      <c r="K4" s="51"/>
      <c r="L4" s="51"/>
    </row>
    <row r="5" spans="1:12" ht="18.75" customHeight="1">
      <c r="A5" s="51"/>
      <c r="B5" s="48"/>
      <c r="C5" s="57" t="s">
        <v>70</v>
      </c>
      <c r="D5" s="58">
        <v>2</v>
      </c>
      <c r="E5" s="58">
        <v>225.17</v>
      </c>
      <c r="F5" s="59"/>
      <c r="G5" s="57" t="s">
        <v>70</v>
      </c>
      <c r="H5" s="60">
        <v>8</v>
      </c>
      <c r="I5" s="58">
        <f>(41.65*6+187.8516+209.9772)/1.2</f>
        <v>539.774</v>
      </c>
      <c r="J5" s="75">
        <f t="shared" ref="J5:J10" si="0">E5-I5</f>
        <v>-314.60400000000004</v>
      </c>
      <c r="K5" s="51"/>
      <c r="L5" s="51"/>
    </row>
    <row r="6" spans="1:12" ht="18.75" customHeight="1">
      <c r="A6" s="51"/>
      <c r="B6" s="48"/>
      <c r="C6" s="57" t="s">
        <v>71</v>
      </c>
      <c r="D6" s="58">
        <v>4</v>
      </c>
      <c r="E6" s="58">
        <v>230.79</v>
      </c>
      <c r="F6" s="59"/>
      <c r="G6" s="61" t="s">
        <v>71</v>
      </c>
      <c r="H6" s="62">
        <v>4</v>
      </c>
      <c r="I6" s="63">
        <f>85*4/1.2</f>
        <v>283.33333333333337</v>
      </c>
      <c r="J6" s="75">
        <f t="shared" si="0"/>
        <v>-52.543333333333379</v>
      </c>
      <c r="K6" s="51"/>
      <c r="L6" s="51"/>
    </row>
    <row r="7" spans="1:12" ht="18.75" customHeight="1">
      <c r="A7" s="51"/>
      <c r="B7" s="48"/>
      <c r="C7" s="57" t="s">
        <v>82</v>
      </c>
      <c r="D7" s="58">
        <v>1</v>
      </c>
      <c r="E7" s="58">
        <v>674.74</v>
      </c>
      <c r="F7" s="59"/>
      <c r="G7" s="61" t="s">
        <v>82</v>
      </c>
      <c r="H7" s="62">
        <v>1</v>
      </c>
      <c r="I7" s="63">
        <f>670/1.2</f>
        <v>558.33333333333337</v>
      </c>
      <c r="J7" s="75">
        <f t="shared" si="0"/>
        <v>116.40666666666664</v>
      </c>
      <c r="K7" s="51"/>
      <c r="L7" s="51"/>
    </row>
    <row r="8" spans="1:12" ht="18.75" customHeight="1">
      <c r="A8" s="51"/>
      <c r="B8" s="48"/>
      <c r="C8" s="57" t="s">
        <v>73</v>
      </c>
      <c r="D8" s="58">
        <v>1</v>
      </c>
      <c r="E8" s="58">
        <v>657.05499999999995</v>
      </c>
      <c r="F8" s="59"/>
      <c r="G8" s="64" t="s">
        <v>73</v>
      </c>
      <c r="H8" s="65">
        <v>0</v>
      </c>
      <c r="I8" s="66">
        <v>0</v>
      </c>
      <c r="J8" s="75">
        <f t="shared" si="0"/>
        <v>657.05499999999995</v>
      </c>
      <c r="K8" s="51"/>
      <c r="L8" s="51"/>
    </row>
    <row r="9" spans="1:12" ht="18.75" customHeight="1">
      <c r="A9" s="51"/>
      <c r="B9" s="48"/>
      <c r="C9" s="57" t="s">
        <v>74</v>
      </c>
      <c r="D9" s="58">
        <v>1</v>
      </c>
      <c r="E9" s="58">
        <v>392.98</v>
      </c>
      <c r="F9" s="59"/>
      <c r="G9" s="61" t="s">
        <v>74</v>
      </c>
      <c r="H9" s="62">
        <v>1</v>
      </c>
      <c r="I9" s="63">
        <f>64/1.2</f>
        <v>53.333333333333336</v>
      </c>
      <c r="J9" s="75">
        <f t="shared" si="0"/>
        <v>339.6466666666667</v>
      </c>
      <c r="K9" s="51"/>
      <c r="L9" s="51"/>
    </row>
    <row r="10" spans="1:12" ht="18.75" customHeight="1">
      <c r="A10" s="51"/>
      <c r="B10" s="48"/>
      <c r="C10" s="57"/>
      <c r="D10" s="58"/>
      <c r="E10" s="58"/>
      <c r="F10" s="59"/>
      <c r="G10" s="82" t="s">
        <v>106</v>
      </c>
      <c r="H10" s="83">
        <v>1</v>
      </c>
      <c r="I10" s="83">
        <v>82</v>
      </c>
      <c r="J10" s="75">
        <f t="shared" si="0"/>
        <v>-82</v>
      </c>
      <c r="K10" s="51"/>
      <c r="L10" s="51"/>
    </row>
    <row r="11" spans="1:12" ht="18.75" customHeight="1">
      <c r="A11" s="51"/>
      <c r="B11" s="49"/>
      <c r="C11" s="67" t="s">
        <v>75</v>
      </c>
      <c r="D11" s="68"/>
      <c r="E11" s="68">
        <v>2180.73</v>
      </c>
      <c r="F11" s="69"/>
      <c r="G11" s="70" t="s">
        <v>75</v>
      </c>
      <c r="H11" s="70"/>
      <c r="I11" s="71">
        <f>I5+I6+I7+I8+I9+I10</f>
        <v>1516.7740000000001</v>
      </c>
      <c r="J11" s="75">
        <f>E11-I11</f>
        <v>663.9559999999999</v>
      </c>
      <c r="K11" s="51"/>
      <c r="L11" s="51"/>
    </row>
    <row r="12" spans="1:12" ht="18.75" customHeight="1">
      <c r="A12" s="51"/>
      <c r="B12" s="49"/>
      <c r="C12" s="67"/>
      <c r="D12" s="68"/>
      <c r="E12" s="68"/>
      <c r="F12" s="69"/>
      <c r="G12" s="70"/>
      <c r="H12" s="70"/>
      <c r="I12" s="71"/>
      <c r="J12" s="75"/>
      <c r="K12" s="51"/>
      <c r="L12" s="51"/>
    </row>
    <row r="13" spans="1:12" ht="18.75" customHeight="1">
      <c r="A13" s="51"/>
      <c r="B13" s="49"/>
      <c r="C13" s="68" t="s">
        <v>83</v>
      </c>
      <c r="D13" s="68"/>
      <c r="E13" s="72"/>
      <c r="F13" s="69"/>
      <c r="G13" s="71" t="s">
        <v>83</v>
      </c>
      <c r="H13" s="71"/>
      <c r="I13" s="73"/>
      <c r="J13" s="75"/>
      <c r="K13" s="51"/>
      <c r="L13" s="51"/>
    </row>
    <row r="14" spans="1:12" ht="18.75" customHeight="1">
      <c r="A14" s="51"/>
      <c r="B14" s="49"/>
      <c r="C14" s="74" t="s">
        <v>84</v>
      </c>
      <c r="D14" s="72">
        <v>4</v>
      </c>
      <c r="E14" s="72">
        <v>372</v>
      </c>
      <c r="F14" s="69"/>
      <c r="G14" s="80" t="s">
        <v>84</v>
      </c>
      <c r="H14" s="74">
        <v>3</v>
      </c>
      <c r="I14" s="72">
        <v>135.98750000000001</v>
      </c>
      <c r="J14" s="75">
        <f>E14-I14</f>
        <v>236.01249999999999</v>
      </c>
      <c r="K14" s="51"/>
      <c r="L14" s="51"/>
    </row>
    <row r="15" spans="1:12" ht="18.75" customHeight="1">
      <c r="A15" s="51"/>
      <c r="B15" s="49"/>
      <c r="C15" s="74" t="s">
        <v>85</v>
      </c>
      <c r="D15" s="72">
        <v>2</v>
      </c>
      <c r="E15" s="72">
        <v>47.03</v>
      </c>
      <c r="F15" s="69"/>
      <c r="G15" s="80" t="s">
        <v>85</v>
      </c>
      <c r="H15" s="74"/>
      <c r="I15" s="72"/>
      <c r="J15" s="75">
        <f t="shared" ref="J15:J21" si="1">E15-I15</f>
        <v>47.03</v>
      </c>
      <c r="K15" s="51"/>
      <c r="L15" s="51"/>
    </row>
    <row r="16" spans="1:12" ht="18.75" customHeight="1">
      <c r="A16" s="51"/>
      <c r="B16" s="49"/>
      <c r="C16" s="74" t="s">
        <v>86</v>
      </c>
      <c r="D16" s="72">
        <v>2</v>
      </c>
      <c r="E16" s="72">
        <v>47.59</v>
      </c>
      <c r="F16" s="69"/>
      <c r="G16" s="74" t="s">
        <v>86</v>
      </c>
      <c r="H16" s="74"/>
      <c r="I16" s="72"/>
      <c r="J16" s="75">
        <f t="shared" si="1"/>
        <v>47.59</v>
      </c>
      <c r="K16" s="51"/>
      <c r="L16" s="51"/>
    </row>
    <row r="17" spans="1:12" ht="18.75" customHeight="1">
      <c r="A17" s="51"/>
      <c r="B17" s="49"/>
      <c r="C17" s="74" t="s">
        <v>87</v>
      </c>
      <c r="D17" s="72">
        <v>1</v>
      </c>
      <c r="E17" s="72">
        <v>76.790000000000006</v>
      </c>
      <c r="F17" s="69"/>
      <c r="G17" s="84" t="s">
        <v>87</v>
      </c>
      <c r="H17" s="84">
        <v>3</v>
      </c>
      <c r="I17" s="85">
        <v>199.9025</v>
      </c>
      <c r="J17" s="75">
        <f t="shared" si="1"/>
        <v>-123.1125</v>
      </c>
      <c r="K17" s="51"/>
      <c r="L17" s="51"/>
    </row>
    <row r="18" spans="1:12" ht="18.75" customHeight="1">
      <c r="A18" s="51"/>
      <c r="B18" s="49"/>
      <c r="C18" s="74" t="s">
        <v>71</v>
      </c>
      <c r="D18" s="72">
        <v>4</v>
      </c>
      <c r="E18" s="72">
        <v>213.52</v>
      </c>
      <c r="F18" s="69"/>
      <c r="G18" s="74" t="s">
        <v>71</v>
      </c>
      <c r="H18" s="74">
        <v>1</v>
      </c>
      <c r="I18" s="72">
        <v>71.62</v>
      </c>
      <c r="J18" s="75">
        <f t="shared" si="1"/>
        <v>141.9</v>
      </c>
      <c r="K18" s="51"/>
      <c r="L18" s="51"/>
    </row>
    <row r="19" spans="1:12" ht="18.75" customHeight="1">
      <c r="A19" s="51"/>
      <c r="B19" s="49"/>
      <c r="C19" s="74" t="s">
        <v>88</v>
      </c>
      <c r="D19" s="72">
        <v>1</v>
      </c>
      <c r="E19" s="72">
        <v>3776.59</v>
      </c>
      <c r="F19" s="69"/>
      <c r="G19" s="74" t="s">
        <v>88</v>
      </c>
      <c r="H19" s="74">
        <v>0</v>
      </c>
      <c r="I19" s="72"/>
      <c r="J19" s="75">
        <f t="shared" si="1"/>
        <v>3776.59</v>
      </c>
      <c r="K19" s="51"/>
      <c r="L19" s="51"/>
    </row>
    <row r="20" spans="1:12" ht="18.75" customHeight="1">
      <c r="A20" s="51"/>
      <c r="B20" s="79"/>
      <c r="C20" s="74"/>
      <c r="D20" s="78"/>
      <c r="E20" s="78"/>
      <c r="F20" s="76"/>
      <c r="G20" s="84" t="s">
        <v>109</v>
      </c>
      <c r="H20" s="84">
        <v>3</v>
      </c>
      <c r="I20" s="85">
        <v>92.472499999999997</v>
      </c>
      <c r="J20" s="75">
        <f t="shared" si="1"/>
        <v>-92.472499999999997</v>
      </c>
      <c r="K20" s="51"/>
      <c r="L20" s="51"/>
    </row>
    <row r="21" spans="1:12" ht="18.75" customHeight="1">
      <c r="A21" s="51"/>
      <c r="B21" s="49"/>
      <c r="C21" s="67" t="s">
        <v>89</v>
      </c>
      <c r="D21" s="68"/>
      <c r="E21" s="68">
        <f>E14+E15+E16+E17+E18+E19</f>
        <v>4533.5200000000004</v>
      </c>
      <c r="F21" s="69"/>
      <c r="G21" s="67" t="s">
        <v>89</v>
      </c>
      <c r="H21" s="67"/>
      <c r="I21" s="68">
        <f>I14+I15+I16+I17+I18+I19+I20</f>
        <v>499.98249999999996</v>
      </c>
      <c r="J21" s="75">
        <f t="shared" si="1"/>
        <v>4033.5375000000004</v>
      </c>
      <c r="K21" s="51"/>
      <c r="L21" s="51"/>
    </row>
    <row r="22" spans="1:12" ht="18.75" customHeight="1">
      <c r="A22" s="51"/>
      <c r="B22" s="79"/>
      <c r="C22" s="67"/>
      <c r="D22" s="77"/>
      <c r="E22" s="77"/>
      <c r="F22" s="76"/>
      <c r="G22" s="67"/>
      <c r="H22" s="67"/>
      <c r="I22" s="77"/>
      <c r="J22" s="56"/>
      <c r="K22" s="51"/>
      <c r="L22" s="51"/>
    </row>
    <row r="23" spans="1:12" ht="18.75" customHeight="1">
      <c r="A23" s="51"/>
      <c r="B23" s="49"/>
      <c r="C23" s="68" t="s">
        <v>90</v>
      </c>
      <c r="D23" s="68"/>
      <c r="E23" s="68"/>
      <c r="F23" s="69"/>
      <c r="G23" s="68" t="s">
        <v>90</v>
      </c>
      <c r="H23" s="68"/>
      <c r="I23" s="68"/>
      <c r="J23" s="56"/>
      <c r="K23" s="51"/>
      <c r="L23" s="51"/>
    </row>
    <row r="24" spans="1:12" ht="18.75" customHeight="1">
      <c r="A24" s="51"/>
      <c r="B24" s="49"/>
      <c r="C24" s="74" t="s">
        <v>91</v>
      </c>
      <c r="D24" s="72">
        <v>1</v>
      </c>
      <c r="E24" s="72">
        <v>540.30999999999995</v>
      </c>
      <c r="F24" s="69"/>
      <c r="G24" s="74" t="s">
        <v>91</v>
      </c>
      <c r="H24" s="74"/>
      <c r="I24" s="72">
        <v>540.30999999999995</v>
      </c>
      <c r="J24" s="56"/>
      <c r="K24" s="51"/>
      <c r="L24" s="51"/>
    </row>
    <row r="25" spans="1:12" ht="18.75" customHeight="1">
      <c r="A25" s="51"/>
      <c r="B25" s="49"/>
      <c r="C25" s="74" t="s">
        <v>92</v>
      </c>
      <c r="D25" s="72">
        <v>6</v>
      </c>
      <c r="E25" s="72">
        <v>580.32000000000005</v>
      </c>
      <c r="F25" s="69"/>
      <c r="G25" s="80" t="s">
        <v>92</v>
      </c>
      <c r="H25" s="80"/>
      <c r="I25" s="81">
        <v>580.32000000000005</v>
      </c>
      <c r="J25" s="56"/>
      <c r="K25" s="51"/>
      <c r="L25" s="51"/>
    </row>
    <row r="26" spans="1:12" ht="18.75" customHeight="1">
      <c r="A26" s="51"/>
      <c r="B26" s="49"/>
      <c r="C26" s="74" t="s">
        <v>93</v>
      </c>
      <c r="D26" s="72">
        <v>3</v>
      </c>
      <c r="E26" s="72">
        <v>73.36</v>
      </c>
      <c r="F26" s="69"/>
      <c r="G26" s="80" t="s">
        <v>93</v>
      </c>
      <c r="H26" s="80"/>
      <c r="I26" s="81">
        <v>73.36</v>
      </c>
      <c r="J26" s="56"/>
      <c r="K26" s="51"/>
      <c r="L26" s="51"/>
    </row>
    <row r="27" spans="1:12" ht="18.75" customHeight="1">
      <c r="A27" s="51"/>
      <c r="B27" s="49"/>
      <c r="C27" s="74" t="s">
        <v>94</v>
      </c>
      <c r="D27" s="72">
        <v>3</v>
      </c>
      <c r="E27" s="72">
        <v>74.239999999999995</v>
      </c>
      <c r="F27" s="69"/>
      <c r="G27" s="80" t="s">
        <v>94</v>
      </c>
      <c r="H27" s="80"/>
      <c r="I27" s="81">
        <v>74.239999999999995</v>
      </c>
      <c r="J27" s="56"/>
      <c r="K27" s="51"/>
      <c r="L27" s="51"/>
    </row>
    <row r="28" spans="1:12" ht="18.75" customHeight="1">
      <c r="A28" s="51"/>
      <c r="B28" s="49"/>
      <c r="C28" s="74" t="s">
        <v>95</v>
      </c>
      <c r="D28" s="72">
        <v>1</v>
      </c>
      <c r="E28" s="72">
        <v>112.51</v>
      </c>
      <c r="F28" s="69"/>
      <c r="G28" s="74" t="s">
        <v>95</v>
      </c>
      <c r="H28" s="74"/>
      <c r="I28" s="72">
        <v>112.51</v>
      </c>
      <c r="J28" s="56"/>
      <c r="K28" s="51"/>
      <c r="L28" s="51"/>
    </row>
    <row r="29" spans="1:12" ht="18.75" customHeight="1">
      <c r="A29" s="51"/>
      <c r="B29" s="49"/>
      <c r="C29" s="74" t="s">
        <v>96</v>
      </c>
      <c r="D29" s="72">
        <v>2</v>
      </c>
      <c r="E29" s="72">
        <v>55.22</v>
      </c>
      <c r="F29" s="69"/>
      <c r="G29" s="74" t="s">
        <v>96</v>
      </c>
      <c r="H29" s="74"/>
      <c r="I29" s="72">
        <v>55.22</v>
      </c>
      <c r="J29" s="56"/>
      <c r="K29" s="51"/>
      <c r="L29" s="51"/>
    </row>
    <row r="30" spans="1:12" ht="18.75" customHeight="1">
      <c r="A30" s="51"/>
      <c r="B30" s="49"/>
      <c r="C30" s="74" t="s">
        <v>71</v>
      </c>
      <c r="D30" s="72">
        <v>4</v>
      </c>
      <c r="E30" s="72">
        <v>222.06</v>
      </c>
      <c r="F30" s="69"/>
      <c r="G30" s="74" t="s">
        <v>71</v>
      </c>
      <c r="H30" s="74"/>
      <c r="I30" s="72">
        <v>222.06</v>
      </c>
      <c r="J30" s="56"/>
      <c r="K30" s="51"/>
      <c r="L30" s="51"/>
    </row>
    <row r="31" spans="1:12" ht="18.75" customHeight="1">
      <c r="A31" s="51"/>
      <c r="B31" s="49"/>
      <c r="C31" s="74" t="s">
        <v>74</v>
      </c>
      <c r="D31" s="72">
        <v>1</v>
      </c>
      <c r="E31" s="72">
        <v>254.78</v>
      </c>
      <c r="F31" s="69"/>
      <c r="G31" s="74" t="s">
        <v>74</v>
      </c>
      <c r="H31" s="74"/>
      <c r="I31" s="72">
        <v>254.78</v>
      </c>
      <c r="J31" s="56"/>
      <c r="K31" s="51"/>
      <c r="L31" s="51"/>
    </row>
    <row r="32" spans="1:12" ht="18.75" customHeight="1">
      <c r="A32" s="51"/>
      <c r="B32" s="49"/>
      <c r="C32" s="67"/>
      <c r="D32" s="68"/>
      <c r="E32" s="72"/>
      <c r="F32" s="69"/>
      <c r="G32" s="67"/>
      <c r="H32" s="67"/>
      <c r="I32" s="72"/>
      <c r="J32" s="56"/>
      <c r="K32" s="51"/>
      <c r="L32" s="51"/>
    </row>
    <row r="33" spans="1:12" ht="18.75" customHeight="1">
      <c r="A33" s="51"/>
      <c r="B33" s="49"/>
      <c r="C33" s="67" t="s">
        <v>97</v>
      </c>
      <c r="D33" s="68"/>
      <c r="E33" s="68">
        <v>1912.79</v>
      </c>
      <c r="F33" s="69"/>
      <c r="G33" s="67" t="s">
        <v>97</v>
      </c>
      <c r="H33" s="67"/>
      <c r="I33" s="68">
        <v>1912.79</v>
      </c>
      <c r="J33" s="56"/>
      <c r="K33" s="51"/>
      <c r="L33" s="51"/>
    </row>
    <row r="34" spans="1:12" ht="18.75" customHeight="1">
      <c r="A34" s="51"/>
      <c r="B34" s="49"/>
      <c r="C34" s="68" t="s">
        <v>98</v>
      </c>
      <c r="D34" s="68"/>
      <c r="E34" s="68"/>
      <c r="F34" s="69"/>
      <c r="G34" s="68" t="s">
        <v>98</v>
      </c>
      <c r="H34" s="68"/>
      <c r="I34" s="68"/>
      <c r="J34" s="56"/>
      <c r="K34" s="51"/>
      <c r="L34" s="51"/>
    </row>
    <row r="35" spans="1:12" ht="18.75" customHeight="1">
      <c r="A35" s="51"/>
      <c r="B35" s="49"/>
      <c r="C35" s="74" t="s">
        <v>84</v>
      </c>
      <c r="D35" s="72">
        <v>4</v>
      </c>
      <c r="E35" s="72">
        <v>402.35</v>
      </c>
      <c r="F35" s="69"/>
      <c r="G35" s="80" t="s">
        <v>84</v>
      </c>
      <c r="H35" s="74"/>
      <c r="I35" s="72">
        <v>402.35</v>
      </c>
      <c r="J35" s="56"/>
      <c r="K35" s="51"/>
      <c r="L35" s="51"/>
    </row>
    <row r="36" spans="1:12" ht="18.75" customHeight="1">
      <c r="A36" s="51"/>
      <c r="B36" s="49"/>
      <c r="C36" s="74" t="s">
        <v>85</v>
      </c>
      <c r="D36" s="72">
        <v>2</v>
      </c>
      <c r="E36" s="72">
        <v>50.86</v>
      </c>
      <c r="F36" s="69"/>
      <c r="G36" s="80" t="s">
        <v>85</v>
      </c>
      <c r="H36" s="74"/>
      <c r="I36" s="72">
        <v>50.86</v>
      </c>
      <c r="J36" s="56"/>
      <c r="K36" s="51"/>
      <c r="L36" s="51"/>
    </row>
    <row r="37" spans="1:12" ht="18.75" customHeight="1">
      <c r="A37" s="51"/>
      <c r="B37" s="49"/>
      <c r="C37" s="74" t="s">
        <v>86</v>
      </c>
      <c r="D37" s="72">
        <v>2</v>
      </c>
      <c r="E37" s="72">
        <v>51.47</v>
      </c>
      <c r="F37" s="69"/>
      <c r="G37" s="80" t="s">
        <v>86</v>
      </c>
      <c r="H37" s="74"/>
      <c r="I37" s="72">
        <v>51.47</v>
      </c>
      <c r="J37" s="56"/>
      <c r="K37" s="51"/>
      <c r="L37" s="51"/>
    </row>
    <row r="38" spans="1:12" ht="18.75" customHeight="1">
      <c r="A38" s="51"/>
      <c r="B38" s="49"/>
      <c r="C38" s="74" t="s">
        <v>87</v>
      </c>
      <c r="D38" s="72">
        <v>1</v>
      </c>
      <c r="E38" s="72">
        <v>83.06</v>
      </c>
      <c r="F38" s="69"/>
      <c r="G38" s="74" t="s">
        <v>87</v>
      </c>
      <c r="H38" s="74"/>
      <c r="I38" s="72">
        <v>83.06</v>
      </c>
      <c r="J38" s="56"/>
      <c r="K38" s="51"/>
      <c r="L38" s="51"/>
    </row>
    <row r="39" spans="1:12" ht="18.75" customHeight="1">
      <c r="A39" s="51"/>
      <c r="B39" s="49"/>
      <c r="C39" s="74" t="s">
        <v>99</v>
      </c>
      <c r="D39" s="72">
        <v>2</v>
      </c>
      <c r="E39" s="72">
        <v>106.4</v>
      </c>
      <c r="F39" s="69"/>
      <c r="G39" s="74" t="s">
        <v>99</v>
      </c>
      <c r="H39" s="74"/>
      <c r="I39" s="72">
        <v>106.4</v>
      </c>
      <c r="J39" s="56"/>
      <c r="K39" s="51"/>
      <c r="L39" s="51"/>
    </row>
    <row r="40" spans="1:12" ht="18.75" customHeight="1">
      <c r="A40" s="51"/>
      <c r="B40" s="49"/>
      <c r="C40" s="74" t="s">
        <v>71</v>
      </c>
      <c r="D40" s="72">
        <v>4</v>
      </c>
      <c r="E40" s="72">
        <v>230.94</v>
      </c>
      <c r="F40" s="69"/>
      <c r="G40" s="74" t="s">
        <v>71</v>
      </c>
      <c r="H40" s="74"/>
      <c r="I40" s="72">
        <v>230.94</v>
      </c>
      <c r="J40" s="56"/>
      <c r="K40" s="51"/>
      <c r="L40" s="51"/>
    </row>
    <row r="41" spans="1:12" ht="18.75" customHeight="1">
      <c r="A41" s="51"/>
      <c r="B41" s="49"/>
      <c r="C41" s="67"/>
      <c r="D41" s="68"/>
      <c r="E41" s="72"/>
      <c r="F41" s="69"/>
      <c r="G41" s="67"/>
      <c r="H41" s="67"/>
      <c r="I41" s="72"/>
      <c r="J41" s="56"/>
      <c r="K41" s="51"/>
      <c r="L41" s="51"/>
    </row>
    <row r="42" spans="1:12" ht="18.75" customHeight="1">
      <c r="A42" s="51"/>
      <c r="B42" s="49"/>
      <c r="C42" s="67" t="s">
        <v>100</v>
      </c>
      <c r="D42" s="68"/>
      <c r="E42" s="68">
        <v>925.08</v>
      </c>
      <c r="F42" s="69"/>
      <c r="G42" s="67" t="s">
        <v>100</v>
      </c>
      <c r="H42" s="67"/>
      <c r="I42" s="68">
        <v>925.08</v>
      </c>
      <c r="J42" s="56"/>
      <c r="K42" s="51"/>
      <c r="L42" s="51"/>
    </row>
    <row r="43" spans="1:12" ht="18.75" customHeight="1">
      <c r="A43" s="51"/>
      <c r="B43" s="166"/>
      <c r="C43" s="167" t="s">
        <v>101</v>
      </c>
      <c r="D43" s="68"/>
      <c r="E43" s="168"/>
      <c r="F43" s="174"/>
      <c r="G43" s="167" t="s">
        <v>101</v>
      </c>
      <c r="H43" s="68"/>
      <c r="I43" s="168"/>
      <c r="J43" s="56"/>
      <c r="K43" s="51"/>
      <c r="L43" s="51"/>
    </row>
    <row r="44" spans="1:12" ht="18.75" customHeight="1">
      <c r="A44" s="51"/>
      <c r="B44" s="166"/>
      <c r="C44" s="167"/>
      <c r="D44" s="68"/>
      <c r="E44" s="168"/>
      <c r="F44" s="174"/>
      <c r="G44" s="167"/>
      <c r="H44" s="68"/>
      <c r="I44" s="168"/>
      <c r="J44" s="56"/>
      <c r="K44" s="51"/>
      <c r="L44" s="51"/>
    </row>
    <row r="45" spans="1:12" ht="18.75" customHeight="1">
      <c r="A45" s="51"/>
      <c r="B45" s="49"/>
      <c r="C45" s="74" t="s">
        <v>84</v>
      </c>
      <c r="D45" s="72">
        <v>4</v>
      </c>
      <c r="E45" s="72">
        <v>418.45</v>
      </c>
      <c r="F45" s="69"/>
      <c r="G45" s="80" t="s">
        <v>84</v>
      </c>
      <c r="H45" s="74"/>
      <c r="I45" s="72">
        <v>418.45</v>
      </c>
      <c r="J45" s="56"/>
      <c r="K45" s="51"/>
      <c r="L45" s="51"/>
    </row>
    <row r="46" spans="1:12" ht="18.75" customHeight="1">
      <c r="A46" s="51"/>
      <c r="B46" s="49"/>
      <c r="C46" s="74" t="s">
        <v>85</v>
      </c>
      <c r="D46" s="72">
        <v>2</v>
      </c>
      <c r="E46" s="72">
        <v>52.9</v>
      </c>
      <c r="F46" s="69"/>
      <c r="G46" s="80" t="s">
        <v>85</v>
      </c>
      <c r="H46" s="74"/>
      <c r="I46" s="72">
        <v>52.9</v>
      </c>
      <c r="J46" s="56"/>
      <c r="K46" s="51"/>
      <c r="L46" s="51"/>
    </row>
    <row r="47" spans="1:12" ht="18.75" customHeight="1">
      <c r="A47" s="51"/>
      <c r="B47" s="49"/>
      <c r="C47" s="74" t="s">
        <v>86</v>
      </c>
      <c r="D47" s="72">
        <v>2</v>
      </c>
      <c r="E47" s="72">
        <v>53.53</v>
      </c>
      <c r="F47" s="69"/>
      <c r="G47" s="80" t="s">
        <v>86</v>
      </c>
      <c r="H47" s="74"/>
      <c r="I47" s="72">
        <v>53.53</v>
      </c>
      <c r="J47" s="56"/>
      <c r="K47" s="51"/>
      <c r="L47" s="51"/>
    </row>
    <row r="48" spans="1:12" ht="18.75" customHeight="1">
      <c r="A48" s="51"/>
      <c r="B48" s="49"/>
      <c r="C48" s="74" t="s">
        <v>95</v>
      </c>
      <c r="D48" s="72">
        <v>1</v>
      </c>
      <c r="E48" s="72">
        <v>121.69</v>
      </c>
      <c r="F48" s="69"/>
      <c r="G48" s="74" t="s">
        <v>95</v>
      </c>
      <c r="H48" s="74"/>
      <c r="I48" s="72">
        <v>121.69</v>
      </c>
      <c r="J48" s="56"/>
      <c r="K48" s="51"/>
      <c r="L48" s="51"/>
    </row>
    <row r="49" spans="1:12" ht="18.75" customHeight="1">
      <c r="A49" s="51"/>
      <c r="B49" s="49"/>
      <c r="C49" s="74" t="s">
        <v>71</v>
      </c>
      <c r="D49" s="72">
        <v>4</v>
      </c>
      <c r="E49" s="72">
        <v>240.18</v>
      </c>
      <c r="F49" s="69"/>
      <c r="G49" s="74" t="s">
        <v>71</v>
      </c>
      <c r="H49" s="74"/>
      <c r="I49" s="72">
        <v>240.18</v>
      </c>
      <c r="J49" s="56"/>
      <c r="K49" s="51"/>
      <c r="L49" s="51"/>
    </row>
    <row r="50" spans="1:12" ht="20.25">
      <c r="A50" s="51"/>
      <c r="B50" s="49"/>
      <c r="C50" s="67"/>
      <c r="D50" s="68"/>
      <c r="E50" s="72"/>
      <c r="F50" s="69"/>
      <c r="G50" s="67"/>
      <c r="H50" s="67"/>
      <c r="I50" s="72"/>
      <c r="J50" s="56"/>
      <c r="K50" s="51"/>
      <c r="L50" s="51"/>
    </row>
    <row r="51" spans="1:12" ht="20.25">
      <c r="A51" s="51"/>
      <c r="B51" s="49"/>
      <c r="C51" s="67" t="s">
        <v>102</v>
      </c>
      <c r="D51" s="68"/>
      <c r="E51" s="68">
        <v>886.74</v>
      </c>
      <c r="F51" s="69"/>
      <c r="G51" s="70" t="s">
        <v>102</v>
      </c>
      <c r="H51" s="70"/>
      <c r="I51" s="71">
        <v>886.74</v>
      </c>
      <c r="J51" s="56"/>
      <c r="K51" s="51"/>
      <c r="L51" s="51"/>
    </row>
    <row r="52" spans="1:12" ht="20.25">
      <c r="A52" s="51"/>
      <c r="B52" s="49"/>
      <c r="C52" s="67"/>
      <c r="D52" s="68"/>
      <c r="E52" s="68"/>
      <c r="F52" s="69"/>
      <c r="G52" s="70"/>
      <c r="H52" s="70"/>
      <c r="I52" s="71"/>
      <c r="J52" s="56"/>
      <c r="K52" s="51"/>
      <c r="L52" s="51"/>
    </row>
    <row r="53" spans="1:12" ht="20.25">
      <c r="A53" s="51"/>
      <c r="B53" s="49"/>
      <c r="C53" s="70" t="s">
        <v>103</v>
      </c>
      <c r="D53" s="71"/>
      <c r="E53" s="71">
        <v>10438.84</v>
      </c>
      <c r="F53" s="69"/>
      <c r="G53" s="70" t="s">
        <v>103</v>
      </c>
      <c r="H53" s="70"/>
      <c r="I53" s="71">
        <f>I51+I42+I33+I21+I11</f>
        <v>5741.3665000000001</v>
      </c>
      <c r="J53" s="56">
        <f>E53-I53</f>
        <v>4697.4735000000001</v>
      </c>
      <c r="K53" s="51"/>
      <c r="L53" s="51"/>
    </row>
  </sheetData>
  <mergeCells count="15">
    <mergeCell ref="J1:L1"/>
    <mergeCell ref="I3:I4"/>
    <mergeCell ref="F43:F44"/>
    <mergeCell ref="G43:G44"/>
    <mergeCell ref="I43:I44"/>
    <mergeCell ref="B1:E1"/>
    <mergeCell ref="G1:I1"/>
    <mergeCell ref="B43:B44"/>
    <mergeCell ref="C43:C44"/>
    <mergeCell ref="E43:E44"/>
    <mergeCell ref="F3:F4"/>
    <mergeCell ref="G3:G4"/>
    <mergeCell ref="B3:B4"/>
    <mergeCell ref="C3:C4"/>
    <mergeCell ref="E3:E4"/>
  </mergeCells>
  <pageMargins left="0.31496062992125984" right="0.31496062992125984" top="0.35433070866141736" bottom="0.35433070866141736" header="0.31496062992125984" footer="0.31496062992125984"/>
  <pageSetup paperSize="9" scale="47" fitToHeight="0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Комп. техника</vt:lpstr>
      <vt:lpstr>Лист1</vt:lpstr>
      <vt:lpstr>'Комп. техника'!Область_печати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Васёв Иван Вадимович</dc:creator>
  <cp:lastModifiedBy>Максимова О М.</cp:lastModifiedBy>
  <cp:lastPrinted>2024-03-19T09:24:55Z</cp:lastPrinted>
  <dcterms:created xsi:type="dcterms:W3CDTF">2015-10-30T08:59:46Z</dcterms:created>
  <dcterms:modified xsi:type="dcterms:W3CDTF">2025-04-21T09:57:30Z</dcterms:modified>
</cp:coreProperties>
</file>