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Лист1!$A$5:$H$31</definedName>
    <definedName name="_xlnm.Print_Titles" localSheetId="0">Лист1!$5:$5</definedName>
    <definedName name="_xlnm.Print_Area" localSheetId="0">Лист1!$A$1:$H$34</definedName>
  </definedNames>
  <calcPr calcId="145621"/>
</workbook>
</file>

<file path=xl/calcChain.xml><?xml version="1.0" encoding="utf-8"?>
<calcChain xmlns="http://schemas.openxmlformats.org/spreadsheetml/2006/main">
  <c r="F18" i="1" l="1"/>
  <c r="F11" i="1" l="1"/>
  <c r="F10" i="1"/>
  <c r="F9" i="1"/>
  <c r="F8" i="1"/>
  <c r="F7" i="1" l="1"/>
  <c r="D24" i="1" l="1"/>
  <c r="D20" i="1"/>
  <c r="D14" i="1"/>
  <c r="D15" i="1" s="1"/>
  <c r="D16" i="1" s="1"/>
  <c r="D19" i="1" s="1"/>
  <c r="D21" i="1" s="1"/>
  <c r="D10" i="1"/>
  <c r="D13" i="1" s="1"/>
  <c r="D7" i="1"/>
  <c r="D26" i="1" s="1"/>
  <c r="D18" i="1" l="1"/>
  <c r="D27" i="1"/>
  <c r="D9" i="1"/>
  <c r="D17" i="1"/>
  <c r="D28" i="1"/>
  <c r="D22" i="1"/>
  <c r="D29" i="1"/>
  <c r="D8" i="1"/>
  <c r="D11" i="1"/>
  <c r="D23" i="1"/>
  <c r="D12" i="1"/>
  <c r="D25" i="1"/>
  <c r="E7" i="1" l="1"/>
  <c r="E20" i="1" l="1"/>
  <c r="E12" i="1" l="1"/>
  <c r="E18" i="1"/>
  <c r="E24" i="1"/>
  <c r="F30" i="1" l="1"/>
  <c r="E29" i="1" l="1"/>
  <c r="E11" i="1"/>
  <c r="G11" i="1" s="1"/>
  <c r="E10" i="1"/>
  <c r="G10" i="1" s="1"/>
  <c r="E14" i="1"/>
  <c r="E8" i="1"/>
  <c r="E9" i="1"/>
  <c r="G9" i="1" s="1"/>
  <c r="G12" i="1"/>
  <c r="E17" i="1"/>
  <c r="G17" i="1" s="1"/>
  <c r="G18" i="1"/>
  <c r="G20" i="1"/>
  <c r="E22" i="1"/>
  <c r="G22" i="1" s="1"/>
  <c r="E23" i="1"/>
  <c r="G23" i="1" s="1"/>
  <c r="G24" i="1"/>
  <c r="E25" i="1"/>
  <c r="G25" i="1" s="1"/>
  <c r="E26" i="1"/>
  <c r="G26" i="1" s="1"/>
  <c r="E27" i="1"/>
  <c r="G27" i="1" s="1"/>
  <c r="E28" i="1"/>
  <c r="G28" i="1" s="1"/>
  <c r="G29" i="1"/>
  <c r="G8" i="1" l="1"/>
  <c r="G7" i="1"/>
  <c r="E13" i="1"/>
  <c r="G13" i="1" s="1"/>
  <c r="G14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E15" i="1" l="1"/>
  <c r="G15" i="1" s="1"/>
  <c r="E16" i="1"/>
  <c r="E19" i="1"/>
  <c r="G16" i="1" l="1"/>
  <c r="G19" i="1"/>
  <c r="E21" i="1" l="1"/>
  <c r="G21" i="1" l="1"/>
  <c r="E30" i="1"/>
  <c r="G30" i="1" s="1"/>
</calcChain>
</file>

<file path=xl/sharedStrings.xml><?xml version="1.0" encoding="utf-8"?>
<sst xmlns="http://schemas.openxmlformats.org/spreadsheetml/2006/main" count="50" uniqueCount="43">
  <si>
    <t>Машина аварийно - ремонтная</t>
  </si>
  <si>
    <t>Машина оперативная          
(оперативно - техническая)</t>
  </si>
  <si>
    <t>№ п/п</t>
  </si>
  <si>
    <t>Экскаватор одноковшовый с   
объемом ковша 0,25 - 0,5 куб. м</t>
  </si>
  <si>
    <t>Экскаватор траншейный цепной</t>
  </si>
  <si>
    <t>Кран автомобильный</t>
  </si>
  <si>
    <t>Машина грузовая</t>
  </si>
  <si>
    <t>Машина - самосвал</t>
  </si>
  <si>
    <t>Трактор колесный</t>
  </si>
  <si>
    <t>Прицеп тракторный</t>
  </si>
  <si>
    <t>Автопогрузчик</t>
  </si>
  <si>
    <t>Электростанция передвижная</t>
  </si>
  <si>
    <t>Установка для отогрева      
мерзлого грунта по трассе кабельной линии</t>
  </si>
  <si>
    <t>Машина (передвижная лаборатория) испытательно - измерительная, диагностическая</t>
  </si>
  <si>
    <t>Наименование машин и механизмов</t>
  </si>
  <si>
    <t>Нормативное количество машин и механизмов ООО "ТЭС", сформированное исходя из фактического объема усл. ед.</t>
  </si>
  <si>
    <t>Итого требуемое количество машин и оборудованиядля ООО "ТЭС" (п.1+п.2+п.4+п.12+п.15+п.16+п.18)</t>
  </si>
  <si>
    <t>* Норматив по п. 18 приведен только для ремонтно - эксплуатационного обслуживания электросчетчиков.</t>
  </si>
  <si>
    <t>Примечание</t>
  </si>
  <si>
    <t>7=5-6</t>
  </si>
  <si>
    <t>Машина для ремонта электросетей</t>
  </si>
  <si>
    <t>Мастерская - фургон для кабельных работ (уе кабельных линий)</t>
  </si>
  <si>
    <t>Машина малогабаритная самоходная кабелеукладочная (уе кабельных линий)</t>
  </si>
  <si>
    <t>Машина бурильно - крановая (уе воздушных линий)</t>
  </si>
  <si>
    <t>Опоровоз (уе воздушных линий)</t>
  </si>
  <si>
    <t>Автоподъемник (уе воздушных линий)</t>
  </si>
  <si>
    <t>Машина для комплексного     
ремонта воздушных линий электропередачи (на тракторе) (уе воздушных линий)</t>
  </si>
  <si>
    <t>Машина для кронирования     
деревьев (уе воздушных линий)</t>
  </si>
  <si>
    <t>Автомобиль специальный * (уе счетчиков)</t>
  </si>
  <si>
    <t>Трактор гусеничный          
(у.е. по объектам, расположенным в сельской местности)</t>
  </si>
  <si>
    <t>Потребность, определенная как разница между нормативной потребностью и фактическим наличием</t>
  </si>
  <si>
    <t>Приложение 1</t>
  </si>
  <si>
    <t>Расчет потребности в машинах и механизмах для ООО "Томские электрические сети" исходя из фактического объема условных единиц на 01.01.2023г. в соответствии с Методическими указаниями по определению потребности в машинах и механизмах для эксплуатации и ремонта электрических сетей, утвержденными приказом Госстроя РФ от 05.09.2000 № 200.</t>
  </si>
  <si>
    <t>Нормативное количество машин и механизмов на 1000 усл. единиц 
 объема работ по электрическим 
сетям при общем количестве усл. единиц до 6,0 тыс.</t>
  </si>
  <si>
    <t xml:space="preserve">Количество условных единиц в ООО "ТЭС" на 01.01.2023
</t>
  </si>
  <si>
    <t>Фактическое наличие машин и оборудования ООО "ТЭС" по состоянию 01.01.2023</t>
  </si>
  <si>
    <t>2 машины в собственности и 1 в аренде ( LADA VESTA, договор с Марагиным К.А.)</t>
  </si>
  <si>
    <t>3 машины в собственности</t>
  </si>
  <si>
    <t>1 машина в собственности</t>
  </si>
  <si>
    <t>Покупка в 2023</t>
  </si>
  <si>
    <t>1 машина в аренде (ISUZU ELF, договор с ООО "Электросети")</t>
  </si>
  <si>
    <t>Так же в собственности имеется автомобиль TAYOTA CAMRY, который используется для нужд АУП</t>
  </si>
  <si>
    <t>Покупка 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</si>
</sst>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40;&#1056;&#1048;&#1060;%202023\&#1056;&#1072;&#1089;&#1095;&#1077;&#1090;%20&#1091;&#1089;&#1083;&#1086;&#1074;&#1085;&#1099;&#1093;%20&#1077;&#1076;&#1080;&#1085;&#1080;&#1094;\&#1040;&#1082;&#1090;&#1091;&#1072;&#1083;&#1100;&#1085;&#1099;&#1081;%20&#1059;&#1045;%20&#1058;&#1086;&#1084;&#1089;&#1082;&#1080;&#1077;%20&#1101;&#1083;.%20&#1089;&#1077;&#1090;&#1080;%20&#1085;&#1072;%2001.01.2023%20(&#1092;&#1072;&#1082;&#1090;%202022)%20&#8212;%20&#1058;&#1086;&#1084;&#1089;&#1082;,%20&#1057;&#1077;&#1074;&#1077;&#1088;&#1089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8;&#1072;&#1085;&#1089;&#1087;&#1086;&#1088;&#1090;%20&#1085;&#1072;%20&#1073;&#1072;&#1083;&#1072;&#1085;&#1089;&#1077;%20&#1058;&#1069;&#1057;%20&#1085;&#1072;%2001.01.2023/&#1058;&#1088;&#1072;&#1085;&#1089;&#1087;&#1086;&#1088;&#1090;%20&#1085;&#1072;%20&#1073;&#1072;&#1083;&#1072;&#1085;&#1089;&#1077;%20&#1058;&#1069;&#1057;%20&#1085;&#1072;%2001.01.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40;&#1056;&#1048;&#1060;%202023\&#1056;&#1072;&#1089;&#1095;&#1077;&#1090;%20&#1091;&#1089;&#1083;&#1086;&#1074;&#1085;&#1099;&#1093;%20&#1077;&#1076;&#1080;&#1085;&#1080;&#1094;\&#1054;&#1073;&#1098;&#1077;&#1082;&#1090;&#1099;%20&#1089;&#1077;&#1083;&#1100;&#1089;&#1082;&#1086;&#1081;%20&#1084;&#1077;&#1089;&#1090;&#1085;&#1086;&#1089;&#1090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6;&#1072;&#1089;&#1095;&#1077;&#1090;%20&#1087;&#1086;%20&#1055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ветовое обозначение"/>
      <sheetName val="1. ВЛ-110"/>
      <sheetName val="2А. ВЛ-35"/>
      <sheetName val="3. ВЛ-10"/>
      <sheetName val="3А. ВЛ-10"/>
      <sheetName val="4. ВЛ-0,4"/>
      <sheetName val="4А. ВЛ-0,4"/>
      <sheetName val="5. КЛ-10"/>
      <sheetName val="5А. КЛ-10"/>
      <sheetName val="6. КЛ-0,4"/>
      <sheetName val="6А. КЛ-0,4"/>
      <sheetName val="7. ПС-110"/>
      <sheetName val="3Б. ВЛ-10"/>
      <sheetName val="4Б. ВЛ-0,4"/>
      <sheetName val="5Б. КЛ-10"/>
      <sheetName val="6Б. КЛ-0,4"/>
      <sheetName val="8А. ПС-35"/>
      <sheetName val="9. ТП-10 кВ"/>
      <sheetName val="9А. ТП-10 кВ"/>
      <sheetName val="10. Р 2.1"/>
      <sheetName val="11. Р 2.2"/>
      <sheetName val="9Б. ТП-10 кВ"/>
      <sheetName val="Приложение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1">
          <cell r="G21">
            <v>2.0900000000000003</v>
          </cell>
        </row>
        <row r="27">
          <cell r="G27">
            <v>3.6540000000000004</v>
          </cell>
        </row>
        <row r="31">
          <cell r="G31">
            <v>2.3564799999999995</v>
          </cell>
        </row>
        <row r="32">
          <cell r="G32">
            <v>94.909500000000008</v>
          </cell>
        </row>
        <row r="33">
          <cell r="G33">
            <v>47.005200000000002</v>
          </cell>
        </row>
        <row r="34">
          <cell r="G34">
            <v>0.21149999999999999</v>
          </cell>
        </row>
        <row r="35">
          <cell r="G35">
            <v>320.51670000000007</v>
          </cell>
        </row>
        <row r="38">
          <cell r="G38">
            <v>3.2825000000000006</v>
          </cell>
        </row>
        <row r="39">
          <cell r="G39">
            <v>157.55959999999999</v>
          </cell>
        </row>
        <row r="40">
          <cell r="G40">
            <v>25.687500000000004</v>
          </cell>
        </row>
        <row r="41">
          <cell r="G41">
            <v>128.00699999999998</v>
          </cell>
        </row>
      </sheetData>
      <sheetData sheetId="20">
        <row r="53">
          <cell r="I53">
            <v>3381.6959799999995</v>
          </cell>
        </row>
      </sheetData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">
          <cell r="F5">
            <v>43496</v>
          </cell>
        </row>
        <row r="6">
          <cell r="F6">
            <v>43902</v>
          </cell>
        </row>
        <row r="7">
          <cell r="F7">
            <v>43902</v>
          </cell>
        </row>
        <row r="8">
          <cell r="F8">
            <v>43902</v>
          </cell>
        </row>
        <row r="10">
          <cell r="F10">
            <v>44000</v>
          </cell>
        </row>
        <row r="11">
          <cell r="F11">
            <v>44285</v>
          </cell>
        </row>
        <row r="12">
          <cell r="F12">
            <v>44285</v>
          </cell>
        </row>
        <row r="13">
          <cell r="F13">
            <v>44285</v>
          </cell>
        </row>
        <row r="14">
          <cell r="F14">
            <v>44408</v>
          </cell>
        </row>
        <row r="15">
          <cell r="F15">
            <v>44664</v>
          </cell>
        </row>
        <row r="16">
          <cell r="F16">
            <v>44664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ветовое обозначение"/>
      <sheetName val="1. ВЛ-110"/>
      <sheetName val="2А. ВЛ-35"/>
      <sheetName val="3. ВЛ-10"/>
      <sheetName val="3А. ВЛ-10"/>
      <sheetName val="4. ВЛ-0,4"/>
      <sheetName val="4А. ВЛ-0,4"/>
      <sheetName val="5. КЛ-10"/>
      <sheetName val="5А. КЛ-10"/>
      <sheetName val="6. КЛ-0,4"/>
      <sheetName val="6А. КЛ-0,4"/>
      <sheetName val="7. ПС-110"/>
      <sheetName val="3Б. ВЛ-10"/>
      <sheetName val="4Б. ВЛ-0,4"/>
      <sheetName val="5Б. КЛ-10"/>
      <sheetName val="6Б. КЛ-0,4"/>
      <sheetName val="8А. ПС-35"/>
      <sheetName val="9. ТП-10 кВ"/>
      <sheetName val="9А. ТП-10 кВ"/>
      <sheetName val="10. Р 2.1"/>
      <sheetName val="11. Р 2.2"/>
      <sheetName val="9Б. ТП-10 кВ"/>
      <sheetName val="Приложение 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3">
          <cell r="I53">
            <v>1984.0744</v>
          </cell>
        </row>
      </sheetData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7">
          <cell r="F17">
            <v>158.97499999999999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zoomScale="75" zoomScaleNormal="10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7" sqref="B7"/>
    </sheetView>
  </sheetViews>
  <sheetFormatPr defaultRowHeight="15.75" x14ac:dyDescent="0.25"/>
  <cols>
    <col min="1" max="1" width="5.5703125" style="2" customWidth="1"/>
    <col min="2" max="2" width="35.42578125" style="3" customWidth="1"/>
    <col min="3" max="3" width="19.7109375" style="4" customWidth="1"/>
    <col min="4" max="4" width="16.140625" style="4" customWidth="1"/>
    <col min="5" max="6" width="20.28515625" style="4" customWidth="1"/>
    <col min="7" max="7" width="17.7109375" style="4" customWidth="1"/>
    <col min="8" max="8" width="24.140625" style="4" customWidth="1"/>
    <col min="9" max="16384" width="9.140625" style="4"/>
  </cols>
  <sheetData>
    <row r="1" spans="1:8" x14ac:dyDescent="0.25">
      <c r="H1" s="5" t="s">
        <v>31</v>
      </c>
    </row>
    <row r="3" spans="1:8" ht="57" customHeight="1" x14ac:dyDescent="0.25">
      <c r="A3" s="22" t="s">
        <v>32</v>
      </c>
      <c r="B3" s="22"/>
      <c r="C3" s="22"/>
      <c r="D3" s="22"/>
      <c r="E3" s="22"/>
      <c r="F3" s="22"/>
      <c r="G3" s="22"/>
      <c r="H3" s="22"/>
    </row>
    <row r="5" spans="1:8" ht="141.75" x14ac:dyDescent="0.25">
      <c r="A5" s="1" t="s">
        <v>2</v>
      </c>
      <c r="B5" s="1" t="s">
        <v>14</v>
      </c>
      <c r="C5" s="1" t="s">
        <v>33</v>
      </c>
      <c r="D5" s="1" t="s">
        <v>34</v>
      </c>
      <c r="E5" s="1" t="s">
        <v>15</v>
      </c>
      <c r="F5" s="1" t="s">
        <v>35</v>
      </c>
      <c r="G5" s="1" t="s">
        <v>30</v>
      </c>
      <c r="H5" s="1" t="s">
        <v>18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 t="s">
        <v>19</v>
      </c>
      <c r="H6" s="6">
        <v>8</v>
      </c>
    </row>
    <row r="7" spans="1:8" ht="78.75" x14ac:dyDescent="0.25">
      <c r="A7" s="6">
        <v>1</v>
      </c>
      <c r="B7" s="7" t="s">
        <v>1</v>
      </c>
      <c r="C7" s="8">
        <v>0.8</v>
      </c>
      <c r="D7" s="8">
        <f>'[1]11. Р 2.2'!$I$53</f>
        <v>3381.6959799999995</v>
      </c>
      <c r="E7" s="8">
        <f>ROUND(C7*D7/1000,0)</f>
        <v>3</v>
      </c>
      <c r="F7" s="8">
        <f>COUNT([2]Лист1!$F$7,[2]Лист1!$F$15)+1</f>
        <v>3</v>
      </c>
      <c r="G7" s="13">
        <f>E7-F7</f>
        <v>0</v>
      </c>
      <c r="H7" s="19" t="s">
        <v>36</v>
      </c>
    </row>
    <row r="8" spans="1:8" ht="31.5" x14ac:dyDescent="0.25">
      <c r="A8" s="6">
        <f>1+A7</f>
        <v>2</v>
      </c>
      <c r="B8" s="7" t="s">
        <v>0</v>
      </c>
      <c r="C8" s="8">
        <v>0.8</v>
      </c>
      <c r="D8" s="8">
        <f>D7</f>
        <v>3381.6959799999995</v>
      </c>
      <c r="E8" s="8">
        <f t="shared" ref="E8:E28" si="0">ROUND(C8*D8/1000,0)</f>
        <v>3</v>
      </c>
      <c r="F8" s="8">
        <f>COUNT([2]Лист1!$F$5,[2]Лист1!$F$8,[2]Лист1!$F$16)</f>
        <v>3</v>
      </c>
      <c r="G8" s="13">
        <f t="shared" ref="G8:G29" si="1">E8-F8</f>
        <v>0</v>
      </c>
      <c r="H8" s="19" t="s">
        <v>37</v>
      </c>
    </row>
    <row r="9" spans="1:8" ht="47.25" x14ac:dyDescent="0.25">
      <c r="A9" s="6">
        <f t="shared" ref="A9:A29" si="2">1+A8</f>
        <v>3</v>
      </c>
      <c r="B9" s="7" t="s">
        <v>13</v>
      </c>
      <c r="C9" s="8">
        <v>0.45</v>
      </c>
      <c r="D9" s="8">
        <f>D7</f>
        <v>3381.6959799999995</v>
      </c>
      <c r="E9" s="8">
        <f t="shared" si="0"/>
        <v>2</v>
      </c>
      <c r="F9" s="8">
        <f>COUNT([2]Лист1!$F$14)</f>
        <v>1</v>
      </c>
      <c r="G9" s="8">
        <f t="shared" si="1"/>
        <v>1</v>
      </c>
      <c r="H9" s="19" t="s">
        <v>38</v>
      </c>
    </row>
    <row r="10" spans="1:8" s="9" customFormat="1" ht="47.25" x14ac:dyDescent="0.25">
      <c r="A10" s="6">
        <f t="shared" si="2"/>
        <v>4</v>
      </c>
      <c r="B10" s="7" t="s">
        <v>21</v>
      </c>
      <c r="C10" s="8">
        <v>0.35</v>
      </c>
      <c r="D10" s="8">
        <f>'[1]10. Р 2.1'!$G$34+'[1]10. Р 2.1'!$G$35+'[1]10. Р 2.1'!$G$41</f>
        <v>448.73520000000008</v>
      </c>
      <c r="E10" s="8">
        <f>ROUND(C10*D10/1000,2)*0+1</f>
        <v>1</v>
      </c>
      <c r="F10" s="8">
        <f>COUNT([2]Лист1!$F$6)</f>
        <v>1</v>
      </c>
      <c r="G10" s="13">
        <f t="shared" si="1"/>
        <v>0</v>
      </c>
      <c r="H10" s="19" t="s">
        <v>38</v>
      </c>
    </row>
    <row r="11" spans="1:8" ht="31.5" x14ac:dyDescent="0.25">
      <c r="A11" s="6">
        <f t="shared" si="2"/>
        <v>5</v>
      </c>
      <c r="B11" s="7" t="s">
        <v>3</v>
      </c>
      <c r="C11" s="8">
        <v>1.2</v>
      </c>
      <c r="D11" s="8">
        <f>D10</f>
        <v>448.73520000000008</v>
      </c>
      <c r="E11" s="8">
        <f>ROUND(C11*D11/1000,0)</f>
        <v>1</v>
      </c>
      <c r="F11" s="8">
        <f>COUNT([2]Лист1!$F$10)</f>
        <v>1</v>
      </c>
      <c r="G11" s="8">
        <f t="shared" si="1"/>
        <v>0</v>
      </c>
      <c r="H11" s="19" t="s">
        <v>38</v>
      </c>
    </row>
    <row r="12" spans="1:8" ht="22.5" customHeight="1" x14ac:dyDescent="0.25">
      <c r="A12" s="6">
        <f t="shared" si="2"/>
        <v>6</v>
      </c>
      <c r="B12" s="7" t="s">
        <v>4</v>
      </c>
      <c r="C12" s="8">
        <v>0.35</v>
      </c>
      <c r="D12" s="8">
        <f>D7</f>
        <v>3381.6959799999995</v>
      </c>
      <c r="E12" s="8">
        <f>ROUND(C12*D12/1000,0)</f>
        <v>1</v>
      </c>
      <c r="F12" s="8">
        <v>0</v>
      </c>
      <c r="G12" s="8">
        <f t="shared" si="1"/>
        <v>1</v>
      </c>
      <c r="H12" s="19" t="s">
        <v>42</v>
      </c>
    </row>
    <row r="13" spans="1:8" s="9" customFormat="1" ht="47.25" x14ac:dyDescent="0.25">
      <c r="A13" s="6">
        <f t="shared" si="2"/>
        <v>7</v>
      </c>
      <c r="B13" s="7" t="s">
        <v>22</v>
      </c>
      <c r="C13" s="8">
        <v>0.1</v>
      </c>
      <c r="D13" s="8">
        <f>D10</f>
        <v>448.73520000000008</v>
      </c>
      <c r="E13" s="8">
        <f>ROUND(C13*D13/1000,2)*0+1</f>
        <v>1</v>
      </c>
      <c r="F13" s="8">
        <v>0</v>
      </c>
      <c r="G13" s="8">
        <f t="shared" si="1"/>
        <v>1</v>
      </c>
      <c r="H13" s="19"/>
    </row>
    <row r="14" spans="1:8" s="9" customFormat="1" ht="31.5" x14ac:dyDescent="0.25">
      <c r="A14" s="6">
        <f t="shared" si="2"/>
        <v>8</v>
      </c>
      <c r="B14" s="7" t="s">
        <v>23</v>
      </c>
      <c r="C14" s="8">
        <v>1.8</v>
      </c>
      <c r="D14" s="8">
        <f>'[1]10. Р 2.1'!$G$21+'[1]10. Р 2.1'!$G$27+'[1]10. Р 2.1'!$G$31+'[1]10. Р 2.1'!$G$32+'[1]10. Р 2.1'!$G$33+'[1]10. Р 2.1'!$G$38+'[1]10. Р 2.1'!$G$39+'[1]10. Р 2.1'!$G$40</f>
        <v>336.54478</v>
      </c>
      <c r="E14" s="10">
        <f>ROUND(C14*D14/1000,2)*0+1</f>
        <v>1</v>
      </c>
      <c r="F14" s="8">
        <v>0</v>
      </c>
      <c r="G14" s="8">
        <f t="shared" si="1"/>
        <v>1</v>
      </c>
      <c r="H14" s="19" t="s">
        <v>39</v>
      </c>
    </row>
    <row r="15" spans="1:8" s="9" customFormat="1" ht="22.5" customHeight="1" x14ac:dyDescent="0.25">
      <c r="A15" s="6">
        <f t="shared" si="2"/>
        <v>9</v>
      </c>
      <c r="B15" s="11" t="s">
        <v>24</v>
      </c>
      <c r="C15" s="8">
        <v>0.55000000000000004</v>
      </c>
      <c r="D15" s="8">
        <f>D14</f>
        <v>336.54478</v>
      </c>
      <c r="E15" s="10">
        <f>ROUND(C15*D15/1000,2)*0+1</f>
        <v>1</v>
      </c>
      <c r="F15" s="8">
        <v>0</v>
      </c>
      <c r="G15" s="8">
        <f t="shared" si="1"/>
        <v>1</v>
      </c>
      <c r="H15" s="19" t="s">
        <v>42</v>
      </c>
    </row>
    <row r="16" spans="1:8" s="9" customFormat="1" ht="27" customHeight="1" x14ac:dyDescent="0.25">
      <c r="A16" s="6">
        <f t="shared" si="2"/>
        <v>10</v>
      </c>
      <c r="B16" s="11" t="s">
        <v>25</v>
      </c>
      <c r="C16" s="8">
        <v>2.1</v>
      </c>
      <c r="D16" s="8">
        <f>D15</f>
        <v>336.54478</v>
      </c>
      <c r="E16" s="10">
        <f>ROUND(C16*D16/1000,2)*0+1</f>
        <v>1</v>
      </c>
      <c r="F16" s="8">
        <v>0</v>
      </c>
      <c r="G16" s="8">
        <f t="shared" si="1"/>
        <v>1</v>
      </c>
      <c r="H16" s="19" t="s">
        <v>39</v>
      </c>
    </row>
    <row r="17" spans="1:8" ht="19.5" customHeight="1" x14ac:dyDescent="0.25">
      <c r="A17" s="6">
        <f t="shared" si="2"/>
        <v>11</v>
      </c>
      <c r="B17" s="7" t="s">
        <v>5</v>
      </c>
      <c r="C17" s="8">
        <v>0.5</v>
      </c>
      <c r="D17" s="8">
        <f>D7</f>
        <v>3381.6959799999995</v>
      </c>
      <c r="E17" s="8">
        <f t="shared" si="0"/>
        <v>2</v>
      </c>
      <c r="F17" s="8">
        <v>0</v>
      </c>
      <c r="G17" s="8">
        <f t="shared" si="1"/>
        <v>2</v>
      </c>
      <c r="H17" s="19"/>
    </row>
    <row r="18" spans="1:8" s="12" customFormat="1" ht="31.5" x14ac:dyDescent="0.25">
      <c r="A18" s="6">
        <f t="shared" si="2"/>
        <v>12</v>
      </c>
      <c r="B18" s="7" t="s">
        <v>20</v>
      </c>
      <c r="C18" s="8">
        <v>1.2</v>
      </c>
      <c r="D18" s="8">
        <f>D7</f>
        <v>3381.6959799999995</v>
      </c>
      <c r="E18" s="8">
        <f>ROUND(C18*D18/1000,0)</f>
        <v>4</v>
      </c>
      <c r="F18" s="8">
        <f>COUNT([2]Лист1!$F$11,[2]Лист1!$F$12,[2]Лист1!$F$13)</f>
        <v>3</v>
      </c>
      <c r="G18" s="8">
        <f>E18-F18</f>
        <v>1</v>
      </c>
      <c r="H18" s="19" t="s">
        <v>37</v>
      </c>
    </row>
    <row r="19" spans="1:8" s="9" customFormat="1" ht="63" x14ac:dyDescent="0.25">
      <c r="A19" s="6">
        <f t="shared" si="2"/>
        <v>13</v>
      </c>
      <c r="B19" s="7" t="s">
        <v>26</v>
      </c>
      <c r="C19" s="8">
        <v>1.2</v>
      </c>
      <c r="D19" s="8">
        <f>D16</f>
        <v>336.54478</v>
      </c>
      <c r="E19" s="8">
        <f>ROUND(C19*D19/1000,4)*0+1</f>
        <v>1</v>
      </c>
      <c r="F19" s="8">
        <v>0</v>
      </c>
      <c r="G19" s="8">
        <f t="shared" si="1"/>
        <v>1</v>
      </c>
      <c r="H19" s="19"/>
    </row>
    <row r="20" spans="1:8" ht="47.25" x14ac:dyDescent="0.25">
      <c r="A20" s="6">
        <f t="shared" si="2"/>
        <v>14</v>
      </c>
      <c r="B20" s="7" t="s">
        <v>29</v>
      </c>
      <c r="C20" s="8">
        <v>1.1499999999999999</v>
      </c>
      <c r="D20" s="8">
        <f>'[3]11. Р 2.2'!$I$53</f>
        <v>1984.0744</v>
      </c>
      <c r="E20" s="8">
        <f>ROUND(C20*D20/1000,0)</f>
        <v>2</v>
      </c>
      <c r="F20" s="8">
        <v>0</v>
      </c>
      <c r="G20" s="8">
        <f t="shared" si="1"/>
        <v>2</v>
      </c>
      <c r="H20" s="19"/>
    </row>
    <row r="21" spans="1:8" s="9" customFormat="1" ht="47.25" x14ac:dyDescent="0.25">
      <c r="A21" s="6">
        <f t="shared" si="2"/>
        <v>15</v>
      </c>
      <c r="B21" s="7" t="s">
        <v>27</v>
      </c>
      <c r="C21" s="8">
        <v>0.55000000000000004</v>
      </c>
      <c r="D21" s="8">
        <f>D19</f>
        <v>336.54478</v>
      </c>
      <c r="E21" s="8">
        <f>ROUND(C21*D21/1000,2)*0+1</f>
        <v>1</v>
      </c>
      <c r="F21" s="8">
        <v>1</v>
      </c>
      <c r="G21" s="8">
        <f>E21-F21</f>
        <v>0</v>
      </c>
      <c r="H21" s="19" t="s">
        <v>40</v>
      </c>
    </row>
    <row r="22" spans="1:8" x14ac:dyDescent="0.25">
      <c r="A22" s="6">
        <f t="shared" si="2"/>
        <v>16</v>
      </c>
      <c r="B22" s="11" t="s">
        <v>6</v>
      </c>
      <c r="C22" s="8">
        <v>1.2</v>
      </c>
      <c r="D22" s="8">
        <f>D7</f>
        <v>3381.6959799999995</v>
      </c>
      <c r="E22" s="8">
        <f t="shared" si="0"/>
        <v>4</v>
      </c>
      <c r="F22" s="8">
        <v>0</v>
      </c>
      <c r="G22" s="8">
        <f t="shared" si="1"/>
        <v>4</v>
      </c>
      <c r="H22" s="19"/>
    </row>
    <row r="23" spans="1:8" x14ac:dyDescent="0.25">
      <c r="A23" s="6">
        <f t="shared" si="2"/>
        <v>17</v>
      </c>
      <c r="B23" s="11" t="s">
        <v>7</v>
      </c>
      <c r="C23" s="8">
        <v>0.2</v>
      </c>
      <c r="D23" s="8">
        <f>D7</f>
        <v>3381.6959799999995</v>
      </c>
      <c r="E23" s="8">
        <f t="shared" si="0"/>
        <v>1</v>
      </c>
      <c r="F23" s="8">
        <v>0</v>
      </c>
      <c r="G23" s="8">
        <f t="shared" si="1"/>
        <v>1</v>
      </c>
      <c r="H23" s="19"/>
    </row>
    <row r="24" spans="1:8" ht="31.5" x14ac:dyDescent="0.25">
      <c r="A24" s="6">
        <f t="shared" si="2"/>
        <v>18</v>
      </c>
      <c r="B24" s="7" t="s">
        <v>28</v>
      </c>
      <c r="C24" s="8">
        <v>2.4</v>
      </c>
      <c r="D24" s="8">
        <f>[4]Лист1!$F$17</f>
        <v>158.97499999999999</v>
      </c>
      <c r="E24" s="8">
        <f>ROUND(C24*D24/1000,2)*0+1</f>
        <v>1</v>
      </c>
      <c r="F24" s="8">
        <v>0</v>
      </c>
      <c r="G24" s="13">
        <f t="shared" si="1"/>
        <v>1</v>
      </c>
      <c r="H24" s="19"/>
    </row>
    <row r="25" spans="1:8" x14ac:dyDescent="0.25">
      <c r="A25" s="6">
        <f t="shared" si="2"/>
        <v>19</v>
      </c>
      <c r="B25" s="11" t="s">
        <v>8</v>
      </c>
      <c r="C25" s="8">
        <v>1.1000000000000001</v>
      </c>
      <c r="D25" s="8">
        <f>D7</f>
        <v>3381.6959799999995</v>
      </c>
      <c r="E25" s="8">
        <f t="shared" si="0"/>
        <v>4</v>
      </c>
      <c r="F25" s="8">
        <v>0</v>
      </c>
      <c r="G25" s="8">
        <f t="shared" si="1"/>
        <v>4</v>
      </c>
      <c r="H25" s="19"/>
    </row>
    <row r="26" spans="1:8" x14ac:dyDescent="0.25">
      <c r="A26" s="6">
        <f t="shared" si="2"/>
        <v>20</v>
      </c>
      <c r="B26" s="11" t="s">
        <v>9</v>
      </c>
      <c r="C26" s="8">
        <v>1.1000000000000001</v>
      </c>
      <c r="D26" s="8">
        <f>D7</f>
        <v>3381.6959799999995</v>
      </c>
      <c r="E26" s="8">
        <f t="shared" si="0"/>
        <v>4</v>
      </c>
      <c r="F26" s="8">
        <v>0</v>
      </c>
      <c r="G26" s="8">
        <f t="shared" si="1"/>
        <v>4</v>
      </c>
      <c r="H26" s="19"/>
    </row>
    <row r="27" spans="1:8" x14ac:dyDescent="0.25">
      <c r="A27" s="6">
        <f t="shared" si="2"/>
        <v>21</v>
      </c>
      <c r="B27" s="11" t="s">
        <v>10</v>
      </c>
      <c r="C27" s="8">
        <v>0.6</v>
      </c>
      <c r="D27" s="8">
        <f>D7</f>
        <v>3381.6959799999995</v>
      </c>
      <c r="E27" s="8">
        <f t="shared" si="0"/>
        <v>2</v>
      </c>
      <c r="F27" s="8">
        <v>0</v>
      </c>
      <c r="G27" s="8">
        <f t="shared" si="1"/>
        <v>2</v>
      </c>
      <c r="H27" s="19"/>
    </row>
    <row r="28" spans="1:8" x14ac:dyDescent="0.25">
      <c r="A28" s="6">
        <f t="shared" si="2"/>
        <v>22</v>
      </c>
      <c r="B28" s="7" t="s">
        <v>11</v>
      </c>
      <c r="C28" s="8">
        <v>0.2</v>
      </c>
      <c r="D28" s="8">
        <f>D7</f>
        <v>3381.6959799999995</v>
      </c>
      <c r="E28" s="8">
        <f t="shared" si="0"/>
        <v>1</v>
      </c>
      <c r="F28" s="8">
        <v>0</v>
      </c>
      <c r="G28" s="8">
        <f t="shared" si="1"/>
        <v>1</v>
      </c>
      <c r="H28" s="19" t="s">
        <v>39</v>
      </c>
    </row>
    <row r="29" spans="1:8" s="9" customFormat="1" ht="47.25" x14ac:dyDescent="0.25">
      <c r="A29" s="6">
        <f t="shared" si="2"/>
        <v>23</v>
      </c>
      <c r="B29" s="7" t="s">
        <v>12</v>
      </c>
      <c r="C29" s="8">
        <v>0.65</v>
      </c>
      <c r="D29" s="8">
        <f>D10</f>
        <v>448.73520000000008</v>
      </c>
      <c r="E29" s="14">
        <f>ROUND(C29*D29/1000,2)*0+1</f>
        <v>1</v>
      </c>
      <c r="F29" s="8">
        <v>0</v>
      </c>
      <c r="G29" s="8">
        <f t="shared" si="1"/>
        <v>1</v>
      </c>
      <c r="H29" s="19" t="s">
        <v>39</v>
      </c>
    </row>
    <row r="30" spans="1:8" x14ac:dyDescent="0.25">
      <c r="A30" s="20" t="s">
        <v>16</v>
      </c>
      <c r="B30" s="20"/>
      <c r="C30" s="20"/>
      <c r="D30" s="20"/>
      <c r="E30" s="15">
        <f>SUM(E7:E29)</f>
        <v>43</v>
      </c>
      <c r="F30" s="15">
        <f>SUM(F7:F29)</f>
        <v>13</v>
      </c>
      <c r="G30" s="8">
        <f>E30-F30</f>
        <v>30</v>
      </c>
      <c r="H30" s="18"/>
    </row>
    <row r="31" spans="1:8" x14ac:dyDescent="0.25">
      <c r="A31" s="21" t="s">
        <v>17</v>
      </c>
      <c r="B31" s="21"/>
      <c r="C31" s="21"/>
      <c r="D31" s="21"/>
      <c r="E31" s="21"/>
      <c r="F31" s="16"/>
      <c r="G31" s="16"/>
      <c r="H31" s="16"/>
    </row>
    <row r="32" spans="1:8" x14ac:dyDescent="0.25">
      <c r="F32" s="17"/>
    </row>
    <row r="33" spans="1:6" x14ac:dyDescent="0.25">
      <c r="A33" s="21" t="s">
        <v>41</v>
      </c>
      <c r="B33" s="21"/>
      <c r="C33" s="21"/>
      <c r="D33" s="21"/>
      <c r="E33" s="21"/>
      <c r="F33" s="23"/>
    </row>
  </sheetData>
  <autoFilter ref="A5:H31"/>
  <mergeCells count="4">
    <mergeCell ref="A30:D30"/>
    <mergeCell ref="A31:E31"/>
    <mergeCell ref="A3:H3"/>
    <mergeCell ref="A33:F33"/>
  </mergeCells>
  <pageMargins left="0.78740157480314965" right="0.39370078740157483" top="0.39370078740157483" bottom="0.3937007874015748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2023-02-28T02:25:29Z</cp:lastPrinted>
  <dcterms:created xsi:type="dcterms:W3CDTF">2021-10-19T02:12:02Z</dcterms:created>
  <dcterms:modified xsi:type="dcterms:W3CDTF">2023-02-28T04:04:38Z</dcterms:modified>
</cp:coreProperties>
</file>