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45" yWindow="45" windowWidth="28350" windowHeight="11610"/>
  </bookViews>
  <sheets>
    <sheet name="H0228_1157017012448_03_0_69_0" sheetId="1" r:id="rId1"/>
  </sheets>
  <definedNames>
    <definedName name="_xlnm.Print_Area" localSheetId="0">H0228_1157017012448_03_0_69_0!$A$1:$AS$18</definedName>
  </definedNames>
  <calcPr calcId="145621"/>
</workbook>
</file>

<file path=xl/calcChain.xml><?xml version="1.0" encoding="utf-8"?>
<calcChain xmlns="http://schemas.openxmlformats.org/spreadsheetml/2006/main">
  <c r="AL29" i="1" l="1"/>
  <c r="AL30" i="1"/>
  <c r="AL44" i="1" l="1"/>
  <c r="AL43" i="1"/>
  <c r="AL49" i="1"/>
  <c r="AL48" i="1"/>
  <c r="AM22" i="1"/>
  <c r="AN22" i="1"/>
  <c r="AD22" i="1"/>
  <c r="AE22" i="1"/>
  <c r="AF22" i="1"/>
  <c r="AG22" i="1"/>
  <c r="AH22" i="1"/>
  <c r="AI22" i="1"/>
  <c r="AJ22" i="1"/>
  <c r="AK22" i="1"/>
  <c r="AL22" i="1"/>
  <c r="AC22" i="1"/>
  <c r="Z22" i="1"/>
  <c r="X22" i="1"/>
  <c r="T22" i="1"/>
  <c r="S22" i="1"/>
  <c r="R22" i="1"/>
  <c r="Q22" i="1"/>
  <c r="P22" i="1"/>
  <c r="O22" i="1"/>
  <c r="N22" i="1"/>
  <c r="M22" i="1"/>
  <c r="L22" i="1"/>
  <c r="K22" i="1"/>
  <c r="I22" i="1"/>
  <c r="H22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Z25" i="1"/>
  <c r="X25" i="1"/>
  <c r="T25" i="1"/>
  <c r="S25" i="1"/>
  <c r="R25" i="1"/>
  <c r="Q25" i="1"/>
  <c r="P25" i="1"/>
  <c r="O25" i="1"/>
  <c r="N25" i="1"/>
  <c r="M25" i="1"/>
  <c r="L25" i="1"/>
  <c r="K25" i="1"/>
  <c r="I25" i="1"/>
  <c r="H25" i="1"/>
  <c r="AL26" i="1"/>
  <c r="AN26" i="1" s="1"/>
  <c r="X26" i="1"/>
  <c r="K26" i="1"/>
  <c r="Z26" i="1" l="1"/>
  <c r="P26" i="1" s="1"/>
  <c r="R26" i="1" s="1"/>
  <c r="AM26" i="1"/>
  <c r="I26" i="1"/>
  <c r="AM31" i="1"/>
  <c r="AN31" i="1"/>
  <c r="AD31" i="1"/>
  <c r="AE31" i="1"/>
  <c r="AF31" i="1"/>
  <c r="AG31" i="1"/>
  <c r="AH31" i="1"/>
  <c r="AI31" i="1"/>
  <c r="AJ31" i="1"/>
  <c r="AK31" i="1"/>
  <c r="AL31" i="1"/>
  <c r="AC31" i="1"/>
  <c r="Z31" i="1"/>
  <c r="X31" i="1"/>
  <c r="T31" i="1"/>
  <c r="S31" i="1"/>
  <c r="R31" i="1"/>
  <c r="Q31" i="1"/>
  <c r="P31" i="1"/>
  <c r="O31" i="1"/>
  <c r="N31" i="1"/>
  <c r="M31" i="1"/>
  <c r="L31" i="1"/>
  <c r="K31" i="1"/>
  <c r="I31" i="1"/>
  <c r="I32" i="1"/>
  <c r="H31" i="1"/>
  <c r="AN34" i="1" l="1"/>
  <c r="AM34" i="1"/>
  <c r="AL34" i="1"/>
  <c r="AK34" i="1"/>
  <c r="AJ34" i="1"/>
  <c r="AI34" i="1"/>
  <c r="AH34" i="1"/>
  <c r="AG34" i="1"/>
  <c r="AF34" i="1"/>
  <c r="AE34" i="1"/>
  <c r="AD34" i="1"/>
  <c r="AC34" i="1"/>
  <c r="Z34" i="1"/>
  <c r="X34" i="1"/>
  <c r="T34" i="1"/>
  <c r="S34" i="1"/>
  <c r="R34" i="1"/>
  <c r="Q34" i="1"/>
  <c r="P34" i="1"/>
  <c r="O34" i="1"/>
  <c r="N34" i="1"/>
  <c r="M34" i="1"/>
  <c r="L34" i="1"/>
  <c r="K34" i="1"/>
  <c r="I34" i="1"/>
  <c r="H34" i="1"/>
  <c r="AL35" i="1"/>
  <c r="AN35" i="1" s="1"/>
  <c r="AM35" i="1"/>
  <c r="X35" i="1"/>
  <c r="K35" i="1"/>
  <c r="Z35" i="1" l="1"/>
  <c r="P35" i="1" s="1"/>
  <c r="AN48" i="1"/>
  <c r="AM48" i="1"/>
  <c r="Z48" i="1"/>
  <c r="P48" i="1" s="1"/>
  <c r="X48" i="1"/>
  <c r="K48" i="1"/>
  <c r="T48" i="1" l="1"/>
  <c r="I48" i="1"/>
  <c r="R35" i="1"/>
  <c r="I35" i="1"/>
  <c r="AK46" i="1"/>
  <c r="AK41" i="1"/>
  <c r="AI29" i="1" l="1"/>
  <c r="T45" i="1"/>
  <c r="O46" i="1"/>
  <c r="O45" i="1"/>
  <c r="AN47" i="1" l="1"/>
  <c r="AN49" i="1"/>
  <c r="AM47" i="1"/>
  <c r="AM49" i="1"/>
  <c r="AJ47" i="1"/>
  <c r="P47" i="1" s="1"/>
  <c r="S47" i="1" s="1"/>
  <c r="AI47" i="1"/>
  <c r="Z47" i="1"/>
  <c r="Z49" i="1"/>
  <c r="P49" i="1" s="1"/>
  <c r="X47" i="1"/>
  <c r="X49" i="1"/>
  <c r="N47" i="1"/>
  <c r="H47" i="1"/>
  <c r="T49" i="1" l="1"/>
  <c r="AN46" i="1"/>
  <c r="AM46" i="1"/>
  <c r="Z46" i="1"/>
  <c r="P46" i="1" s="1"/>
  <c r="T46" i="1" s="1"/>
  <c r="X46" i="1"/>
  <c r="H46" i="1"/>
  <c r="AN45" i="1"/>
  <c r="AM45" i="1"/>
  <c r="AJ45" i="1"/>
  <c r="AI45" i="1"/>
  <c r="Z45" i="1"/>
  <c r="P45" i="1" s="1"/>
  <c r="X45" i="1"/>
  <c r="H45" i="1"/>
  <c r="AN44" i="1" l="1"/>
  <c r="AM44" i="1"/>
  <c r="Z44" i="1"/>
  <c r="P44" i="1" s="1"/>
  <c r="AK44" i="1"/>
  <c r="X44" i="1" s="1"/>
  <c r="N44" i="1"/>
  <c r="H44" i="1"/>
  <c r="AN43" i="1" l="1"/>
  <c r="AM43" i="1"/>
  <c r="Z43" i="1"/>
  <c r="P43" i="1" s="1"/>
  <c r="AK43" i="1"/>
  <c r="X43" i="1" s="1"/>
  <c r="N43" i="1"/>
  <c r="H43" i="1"/>
  <c r="AN42" i="1" l="1"/>
  <c r="AM42" i="1"/>
  <c r="Z42" i="1"/>
  <c r="P42" i="1" s="1"/>
  <c r="X42" i="1"/>
  <c r="AN41" i="1" l="1"/>
  <c r="AM41" i="1"/>
  <c r="X41" i="1"/>
  <c r="Z41" i="1"/>
  <c r="P41" i="1" s="1"/>
  <c r="N41" i="1"/>
  <c r="H41" i="1"/>
  <c r="AN40" i="1"/>
  <c r="AM40" i="1"/>
  <c r="Z40" i="1"/>
  <c r="P40" i="1" s="1"/>
  <c r="X40" i="1"/>
  <c r="AN39" i="1"/>
  <c r="AM39" i="1"/>
  <c r="Z39" i="1"/>
  <c r="P39" i="1" s="1"/>
  <c r="X39" i="1"/>
  <c r="AN37" i="1" l="1"/>
  <c r="AM37" i="1"/>
  <c r="AJ37" i="1"/>
  <c r="AI37" i="1"/>
  <c r="Z37" i="1"/>
  <c r="X37" i="1"/>
  <c r="M37" i="1"/>
  <c r="H37" i="1"/>
  <c r="P37" i="1" l="1"/>
  <c r="AN33" i="1"/>
  <c r="AM33" i="1"/>
  <c r="AJ33" i="1"/>
  <c r="AI33" i="1"/>
  <c r="Z33" i="1"/>
  <c r="X33" i="1"/>
  <c r="M33" i="1"/>
  <c r="H33" i="1"/>
  <c r="P33" i="1" l="1"/>
  <c r="AN30" i="1"/>
  <c r="AM30" i="1"/>
  <c r="AK30" i="1"/>
  <c r="X30" i="1" s="1"/>
  <c r="Z30" i="1"/>
  <c r="P30" i="1" s="1"/>
  <c r="M30" i="1"/>
  <c r="H30" i="1"/>
  <c r="AN29" i="1" l="1"/>
  <c r="AM29" i="1"/>
  <c r="AM24" i="1"/>
  <c r="Z29" i="1"/>
  <c r="AK29" i="1"/>
  <c r="X29" i="1" s="1"/>
  <c r="AJ29" i="1"/>
  <c r="M29" i="1"/>
  <c r="H29" i="1"/>
  <c r="P29" i="1" l="1"/>
  <c r="AJ24" i="1"/>
  <c r="P24" i="1" s="1"/>
  <c r="AI24" i="1"/>
  <c r="Z24" i="1"/>
  <c r="X24" i="1"/>
  <c r="M24" i="1"/>
  <c r="Q23" i="1"/>
  <c r="Q28" i="1"/>
  <c r="Q27" i="1" s="1"/>
  <c r="Q32" i="1"/>
  <c r="Q36" i="1"/>
  <c r="Q38" i="1"/>
  <c r="Q20" i="1" s="1"/>
  <c r="H24" i="1"/>
  <c r="Q21" i="1" l="1"/>
  <c r="Q19" i="1" s="1"/>
  <c r="Q18" i="1" s="1"/>
  <c r="K47" i="1"/>
  <c r="I47" i="1" l="1"/>
  <c r="AK28" i="1" l="1"/>
  <c r="AL28" i="1"/>
  <c r="AI28" i="1"/>
  <c r="AJ28" i="1"/>
  <c r="AD28" i="1"/>
  <c r="AE28" i="1"/>
  <c r="AF28" i="1"/>
  <c r="AG28" i="1"/>
  <c r="AH28" i="1"/>
  <c r="AC28" i="1"/>
  <c r="S28" i="1"/>
  <c r="T28" i="1"/>
  <c r="L28" i="1"/>
  <c r="M28" i="1"/>
  <c r="N28" i="1"/>
  <c r="O28" i="1"/>
  <c r="H28" i="1"/>
  <c r="I30" i="1"/>
  <c r="K30" i="1"/>
  <c r="R30" i="1" l="1"/>
  <c r="AD23" i="1" l="1"/>
  <c r="AE23" i="1"/>
  <c r="AF23" i="1"/>
  <c r="AG23" i="1"/>
  <c r="AH23" i="1"/>
  <c r="AI23" i="1"/>
  <c r="AJ23" i="1"/>
  <c r="AK23" i="1"/>
  <c r="AL23" i="1"/>
  <c r="AC23" i="1"/>
  <c r="S23" i="1"/>
  <c r="T23" i="1"/>
  <c r="L23" i="1"/>
  <c r="M23" i="1"/>
  <c r="N23" i="1"/>
  <c r="O23" i="1"/>
  <c r="X23" i="1" l="1"/>
  <c r="AM23" i="1"/>
  <c r="K24" i="1"/>
  <c r="K23" i="1" s="1"/>
  <c r="H23" i="1"/>
  <c r="Z23" i="1" l="1"/>
  <c r="AN24" i="1"/>
  <c r="AN23" i="1" s="1"/>
  <c r="I24" i="1"/>
  <c r="I23" i="1" s="1"/>
  <c r="R24" i="1" l="1"/>
  <c r="R23" i="1" s="1"/>
  <c r="P23" i="1"/>
  <c r="I49" i="1" l="1"/>
  <c r="AM28" i="1" l="1"/>
  <c r="X28" i="1"/>
  <c r="K46" i="1"/>
  <c r="K45" i="1"/>
  <c r="P28" i="1" l="1"/>
  <c r="Z28" i="1"/>
  <c r="I46" i="1" l="1"/>
  <c r="I45" i="1"/>
  <c r="I41" i="1" l="1"/>
  <c r="I42" i="1"/>
  <c r="I39" i="1"/>
  <c r="AM32" i="1" l="1"/>
  <c r="AN36" i="1"/>
  <c r="AM36" i="1"/>
  <c r="AN32" i="1"/>
  <c r="AM27" i="1"/>
  <c r="AN28" i="1" l="1"/>
  <c r="AN27" i="1" s="1"/>
  <c r="AL38" i="1"/>
  <c r="AK38" i="1"/>
  <c r="AL36" i="1"/>
  <c r="AK36" i="1"/>
  <c r="AL32" i="1"/>
  <c r="AK32" i="1"/>
  <c r="AL27" i="1"/>
  <c r="AK27" i="1"/>
  <c r="AL21" i="1" l="1"/>
  <c r="AK21" i="1"/>
  <c r="AK19" i="1" s="1"/>
  <c r="AM21" i="1"/>
  <c r="AM19" i="1" s="1"/>
  <c r="AN21" i="1"/>
  <c r="AN19" i="1" s="1"/>
  <c r="AL19" i="1"/>
  <c r="AJ36" i="1"/>
  <c r="AI36" i="1"/>
  <c r="AJ32" i="1"/>
  <c r="AI32" i="1"/>
  <c r="AJ27" i="1" l="1"/>
  <c r="AI27" i="1"/>
  <c r="AI21" i="1" s="1"/>
  <c r="AJ21" i="1" l="1"/>
  <c r="AI19" i="1"/>
  <c r="AJ19" i="1"/>
  <c r="AH38" i="1"/>
  <c r="AH20" i="1" s="1"/>
  <c r="AG38" i="1"/>
  <c r="AG20" i="1" s="1"/>
  <c r="AF38" i="1"/>
  <c r="AE38" i="1"/>
  <c r="AD38" i="1"/>
  <c r="AC38" i="1"/>
  <c r="AH36" i="1"/>
  <c r="AH32" i="1"/>
  <c r="AH27" i="1"/>
  <c r="AG36" i="1"/>
  <c r="AG32" i="1"/>
  <c r="X27" i="1"/>
  <c r="AF36" i="1"/>
  <c r="AF32" i="1"/>
  <c r="AF27" i="1"/>
  <c r="AE36" i="1"/>
  <c r="AE32" i="1"/>
  <c r="AE27" i="1"/>
  <c r="AD36" i="1"/>
  <c r="AD32" i="1"/>
  <c r="AD27" i="1"/>
  <c r="AD21" i="1" s="1"/>
  <c r="AC36" i="1"/>
  <c r="AC32" i="1"/>
  <c r="AC27" i="1"/>
  <c r="Z36" i="1"/>
  <c r="Z32" i="1"/>
  <c r="Z27" i="1"/>
  <c r="X36" i="1"/>
  <c r="AH21" i="1" l="1"/>
  <c r="AH19" i="1" s="1"/>
  <c r="AH18" i="1" s="1"/>
  <c r="X38" i="1"/>
  <c r="AC21" i="1"/>
  <c r="AC19" i="1" s="1"/>
  <c r="AD19" i="1"/>
  <c r="X32" i="1"/>
  <c r="AG27" i="1"/>
  <c r="T36" i="1"/>
  <c r="S36" i="1"/>
  <c r="T32" i="1"/>
  <c r="S32" i="1"/>
  <c r="S42" i="1"/>
  <c r="R38" i="1"/>
  <c r="S39" i="1"/>
  <c r="T27" i="1"/>
  <c r="S27" i="1"/>
  <c r="AF21" i="1" l="1"/>
  <c r="AF19" i="1" s="1"/>
  <c r="AE21" i="1"/>
  <c r="AE19" i="1" s="1"/>
  <c r="X21" i="1"/>
  <c r="X19" i="1" s="1"/>
  <c r="T21" i="1"/>
  <c r="Z21" i="1"/>
  <c r="Z19" i="1" s="1"/>
  <c r="AG21" i="1"/>
  <c r="AG19" i="1" s="1"/>
  <c r="AG18" i="1" s="1"/>
  <c r="S44" i="1"/>
  <c r="I44" i="1"/>
  <c r="S43" i="1"/>
  <c r="I43" i="1"/>
  <c r="P36" i="1"/>
  <c r="I37" i="1"/>
  <c r="I36" i="1" s="1"/>
  <c r="P32" i="1"/>
  <c r="I33" i="1"/>
  <c r="R29" i="1"/>
  <c r="I29" i="1"/>
  <c r="P27" i="1"/>
  <c r="R37" i="1"/>
  <c r="R36" i="1" s="1"/>
  <c r="T38" i="1"/>
  <c r="R33" i="1"/>
  <c r="R32" i="1" s="1"/>
  <c r="S21" i="1"/>
  <c r="S19" i="1" s="1"/>
  <c r="T19" i="1"/>
  <c r="K40" i="1"/>
  <c r="K41" i="1"/>
  <c r="K42" i="1"/>
  <c r="K43" i="1"/>
  <c r="K44" i="1"/>
  <c r="K49" i="1"/>
  <c r="L38" i="1"/>
  <c r="L20" i="1" s="1"/>
  <c r="M38" i="1"/>
  <c r="M20" i="1" s="1"/>
  <c r="N38" i="1"/>
  <c r="N20" i="1" s="1"/>
  <c r="O38" i="1"/>
  <c r="O20" i="1" s="1"/>
  <c r="K37" i="1"/>
  <c r="K36" i="1" s="1"/>
  <c r="O36" i="1"/>
  <c r="N36" i="1"/>
  <c r="M36" i="1"/>
  <c r="L36" i="1"/>
  <c r="K33" i="1"/>
  <c r="K32" i="1" s="1"/>
  <c r="O32" i="1"/>
  <c r="N32" i="1"/>
  <c r="M32" i="1"/>
  <c r="L32" i="1"/>
  <c r="K29" i="1"/>
  <c r="O27" i="1"/>
  <c r="N27" i="1"/>
  <c r="M27" i="1"/>
  <c r="L27" i="1"/>
  <c r="O21" i="1" l="1"/>
  <c r="O19" i="1" s="1"/>
  <c r="O18" i="1" s="1"/>
  <c r="L21" i="1"/>
  <c r="K28" i="1"/>
  <c r="K27" i="1" s="1"/>
  <c r="R28" i="1"/>
  <c r="R27" i="1" s="1"/>
  <c r="I28" i="1"/>
  <c r="I27" i="1" s="1"/>
  <c r="N21" i="1"/>
  <c r="N19" i="1" s="1"/>
  <c r="N18" i="1" s="1"/>
  <c r="M21" i="1"/>
  <c r="M19" i="1" s="1"/>
  <c r="M18" i="1" s="1"/>
  <c r="L19" i="1"/>
  <c r="L18" i="1" s="1"/>
  <c r="I21" i="1" l="1"/>
  <c r="I19" i="1" s="1"/>
  <c r="R21" i="1"/>
  <c r="R19" i="1" s="1"/>
  <c r="P21" i="1"/>
  <c r="P19" i="1" s="1"/>
  <c r="K21" i="1"/>
  <c r="K19" i="1" s="1"/>
  <c r="H36" i="1"/>
  <c r="H32" i="1"/>
  <c r="H27" i="1"/>
  <c r="H21" i="1" l="1"/>
  <c r="H19" i="1" s="1"/>
  <c r="R20" i="1"/>
  <c r="R18" i="1" s="1"/>
  <c r="T20" i="1"/>
  <c r="T18" i="1" s="1"/>
  <c r="S41" i="1" l="1"/>
  <c r="Z38" i="1" l="1"/>
  <c r="Z20" i="1" s="1"/>
  <c r="Z18" i="1" s="1"/>
  <c r="I40" i="1"/>
  <c r="I38" i="1" s="1"/>
  <c r="I20" i="1" s="1"/>
  <c r="I18" i="1" s="1"/>
  <c r="S40" i="1" l="1"/>
  <c r="S38" i="1" s="1"/>
  <c r="S20" i="1" s="1"/>
  <c r="S18" i="1" s="1"/>
  <c r="P38" i="1"/>
  <c r="AL20" i="1" l="1"/>
  <c r="AL18" i="1" s="1"/>
  <c r="AJ38" i="1"/>
  <c r="AJ20" i="1" s="1"/>
  <c r="AJ18" i="1" s="1"/>
  <c r="AI38" i="1"/>
  <c r="AI20" i="1" s="1"/>
  <c r="AI18" i="1" s="1"/>
  <c r="AF40" i="1"/>
  <c r="AN38" i="1" l="1"/>
  <c r="AN20" i="1" s="1"/>
  <c r="AN18" i="1" s="1"/>
  <c r="AK20" i="1"/>
  <c r="AK18" i="1" s="1"/>
  <c r="X20" i="1"/>
  <c r="X18" i="1" s="1"/>
  <c r="AM38" i="1"/>
  <c r="AM20" i="1" s="1"/>
  <c r="AM18" i="1" s="1"/>
  <c r="AF20" i="1"/>
  <c r="AF18" i="1" s="1"/>
  <c r="AE20" i="1"/>
  <c r="AE18" i="1" s="1"/>
  <c r="AD39" i="1" l="1"/>
  <c r="AD20" i="1" s="1"/>
  <c r="AD18" i="1" s="1"/>
  <c r="P20" i="1" l="1"/>
  <c r="P18" i="1" s="1"/>
  <c r="AC39" i="1"/>
  <c r="AC20" i="1" s="1"/>
  <c r="AC18" i="1" s="1"/>
  <c r="K39" i="1" l="1"/>
  <c r="N39" i="1"/>
  <c r="K38" i="1" l="1"/>
  <c r="K20" i="1" s="1"/>
  <c r="K18" i="1" s="1"/>
  <c r="H39" i="1" l="1"/>
  <c r="H38" i="1" l="1"/>
  <c r="H20" i="1" s="1"/>
  <c r="H18" i="1" s="1"/>
</calcChain>
</file>

<file path=xl/sharedStrings.xml><?xml version="1.0" encoding="utf-8"?>
<sst xmlns="http://schemas.openxmlformats.org/spreadsheetml/2006/main" count="494" uniqueCount="127">
  <si>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</si>
  <si>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</si>
  <si>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</si>
  <si>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</si>
  <si>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</si>
  <si>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</si>
  <si>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</si>
  <si>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</si>
  <si>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</si>
  <si>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</si>
  <si>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</si>
  <si>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</si>
  <si>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</si>
  <si>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</si>
  <si>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</si>
  <si>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</si>
  <si>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</si>
  <si>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</si>
  <si>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</si>
  <si>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</si>
  <si>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</si>
  <si>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</si>
  <si>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</si>
  <si>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</si>
  <si>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</si>
  <si>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</si>
  <si>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</si>
  <si>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</si>
  <si>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</si>
  <si>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</si>
  <si>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</si>
  <si>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</si>
  <si>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</si>
  <si>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нд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</si>
  <si>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</si>
  <si>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ВСЕГО по инвестиционной программе, в том числе: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</si>
  <si>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</si>
  <si>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</si>
  <si>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ООО "Томские электрические сети"</t>
  </si>
  <si>
    <t>0</t>
  </si>
  <si>
    <t>Прочие инвестиционные проекты, всего, в том числе:</t>
  </si>
  <si>
    <t>Внешнее электроснабжение МЖД №10, 11, 12, 13, 14, 15, 16 в мкр.Северный</t>
  </si>
  <si>
    <t>ПС 35/10 кВ "Гравийная"</t>
  </si>
  <si>
    <t>Внешнее электроснабжение мкр.Центральный</t>
  </si>
  <si>
    <t>I_TES001</t>
  </si>
  <si>
    <t>I_TES002</t>
  </si>
  <si>
    <t>I_TES003</t>
  </si>
  <si>
    <t>I_TES004</t>
  </si>
  <si>
    <t>Утвержденные плановые значения показателей приведены в соответствии с  Приказом ДТР ТО от 29.10.2018 №6-226</t>
  </si>
  <si>
    <t xml:space="preserve">
Утвержденный план</t>
  </si>
  <si>
    <t xml:space="preserve">Факт </t>
  </si>
  <si>
    <t>Утвержденный план</t>
  </si>
  <si>
    <t xml:space="preserve">2020 год </t>
  </si>
  <si>
    <t xml:space="preserve">2021 год </t>
  </si>
  <si>
    <t xml:space="preserve">2022 год </t>
  </si>
  <si>
    <t xml:space="preserve">2023 год  </t>
  </si>
  <si>
    <t xml:space="preserve">2019 год </t>
  </si>
  <si>
    <t>Освоение капитальных вложений 2018 года в прогнозных ценах соответствующих лет, млн рублей (без НДС)</t>
  </si>
  <si>
    <t>Новый проект</t>
  </si>
  <si>
    <t>Внешнее электроснабжение кварталов 1, 2, 3, 4, 5, 6, 7 в мкр. Северный</t>
  </si>
  <si>
    <t>З</t>
  </si>
  <si>
    <t xml:space="preserve">Фактический объем освоения капитальных вложений на 01.01.2018 года, млн рублей 
(без НДС) </t>
  </si>
  <si>
    <t>План на 01.01.2018 года</t>
  </si>
  <si>
    <t>29.7</t>
  </si>
  <si>
    <t>29.8</t>
  </si>
  <si>
    <t>29.9</t>
  </si>
  <si>
    <t>29.10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</si>
  <si>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</si>
  <si>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</si>
  <si>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</si>
  <si>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</si>
  <si>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</si>
  <si>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</si>
  <si>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</si>
  <si>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</si>
  <si>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</si>
  <si>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</si>
  <si>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</si>
  <si>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</si>
  <si>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</si>
  <si>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</si>
  <si>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</si>
  <si>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</si>
  <si>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</si>
  <si>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</si>
  <si>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</si>
  <si>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</si>
  <si>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</si>
  <si>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</si>
  <si>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</si>
  <si>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</si>
  <si>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</si>
  <si>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</si>
  <si>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</si>
  <si>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</si>
  <si>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</si>
  <si>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</si>
  <si>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</si>
  <si>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</si>
  <si>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</si>
  <si>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</si>
  <si>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</si>
  <si>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</si>
  <si>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</si>
  <si>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</si>
  <si>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</si>
  <si>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</si>
  <si>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</si>
  <si>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</si>
  <si>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</si>
  <si>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</si>
  <si>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План 
на 01.01.2023 года</t>
  </si>
  <si>
    <t>Предложение по корректировке утвержденного плана 
на 01.01.2023 года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</si>
  <si>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</si>
  <si>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</si>
  <si>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</si>
  <si>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</si>
  <si>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</si>
  <si>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</si>
  <si>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</si>
  <si>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</si>
  <si>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</si>
  <si>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</si>
  <si>
    <t>Стоимость скорректирована с учетом изменения объемов и актуальных предложений</t>
  </si>
  <si>
    <t>Реализация за счет прочих собственных средств</t>
  </si>
  <si>
    <t>Исключен</t>
  </si>
  <si>
    <t>Стоимость скорректирована с учетом актуальных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</si>
</sst>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6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65">
    <xf numFmtId="0" fontId="0" fillId="0" borderId="0" xfId="0"/>
    <xf numFmtId="0" fontId="7" fillId="0" borderId="0" xfId="0" applyFont="1" applyFill="1"/>
    <xf numFmtId="0" fontId="27" fillId="0" borderId="0" xfId="0" applyFont="1" applyFill="1" applyAlignment="1"/>
    <xf numFmtId="0" fontId="7" fillId="0" borderId="0" xfId="0" applyFont="1" applyFill="1" applyAlignment="1"/>
    <xf numFmtId="1" fontId="28" fillId="0" borderId="0" xfId="0" applyNumberFormat="1" applyFont="1" applyFill="1" applyBorder="1" applyAlignment="1">
      <alignment vertical="top"/>
    </xf>
    <xf numFmtId="0" fontId="7" fillId="0" borderId="11" xfId="105" applyFont="1" applyFill="1" applyBorder="1" applyAlignment="1">
      <alignment horizontal="center" vertical="center" textRotation="90" wrapText="1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6" fillId="0" borderId="0" xfId="105" applyFont="1" applyAlignment="1">
      <alignment horizontal="right" vertical="center"/>
    </xf>
    <xf numFmtId="0" fontId="7" fillId="0" borderId="0" xfId="0" applyFont="1"/>
    <xf numFmtId="0" fontId="26" fillId="0" borderId="0" xfId="105" applyFont="1" applyAlignment="1">
      <alignment horizontal="right"/>
    </xf>
    <xf numFmtId="0" fontId="31" fillId="0" borderId="0" xfId="244" applyFont="1" applyAlignment="1">
      <alignment vertical="center"/>
    </xf>
    <xf numFmtId="0" fontId="32" fillId="0" borderId="0" xfId="244" applyFont="1" applyAlignment="1">
      <alignment vertical="top"/>
    </xf>
    <xf numFmtId="0" fontId="26" fillId="0" borderId="0" xfId="0" applyFont="1" applyFill="1" applyAlignment="1"/>
    <xf numFmtId="49" fontId="7" fillId="0" borderId="11" xfId="0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49" fontId="32" fillId="0" borderId="11" xfId="244" applyNumberFormat="1" applyFont="1" applyFill="1" applyBorder="1" applyAlignment="1">
      <alignment horizontal="center" vertical="center" wrapText="1"/>
    </xf>
    <xf numFmtId="49" fontId="32" fillId="0" borderId="11" xfId="244" applyNumberFormat="1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center"/>
    </xf>
    <xf numFmtId="0" fontId="28" fillId="0" borderId="11" xfId="0" applyFont="1" applyFill="1" applyBorder="1" applyAlignment="1">
      <alignment horizontal="center" vertical="center"/>
    </xf>
    <xf numFmtId="49" fontId="33" fillId="0" borderId="11" xfId="240" applyNumberFormat="1" applyFont="1" applyFill="1" applyBorder="1" applyAlignment="1">
      <alignment horizontal="center"/>
    </xf>
    <xf numFmtId="0" fontId="7" fillId="0" borderId="11" xfId="0" applyFont="1" applyFill="1" applyBorder="1"/>
    <xf numFmtId="0" fontId="7" fillId="0" borderId="11" xfId="0" applyFont="1" applyFill="1" applyBorder="1" applyAlignment="1">
      <alignment wrapText="1"/>
    </xf>
    <xf numFmtId="0" fontId="32" fillId="0" borderId="11" xfId="244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 wrapText="1"/>
    </xf>
    <xf numFmtId="0" fontId="33" fillId="0" borderId="11" xfId="240" applyFont="1" applyFill="1" applyBorder="1" applyAlignment="1">
      <alignment horizontal="left" wrapText="1"/>
    </xf>
    <xf numFmtId="0" fontId="32" fillId="0" borderId="11" xfId="244" applyFont="1" applyFill="1" applyBorder="1" applyAlignment="1">
      <alignment horizontal="center" vertical="center"/>
    </xf>
    <xf numFmtId="0" fontId="35" fillId="0" borderId="11" xfId="244" applyFont="1" applyFill="1" applyBorder="1" applyAlignment="1">
      <alignment horizontal="center" vertical="center"/>
    </xf>
    <xf numFmtId="49" fontId="34" fillId="0" borderId="11" xfId="240" applyNumberFormat="1" applyFont="1" applyFill="1" applyBorder="1" applyAlignment="1">
      <alignment horizontal="center"/>
    </xf>
    <xf numFmtId="0" fontId="34" fillId="0" borderId="11" xfId="24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167" fontId="35" fillId="0" borderId="11" xfId="244" applyNumberFormat="1" applyFont="1" applyFill="1" applyBorder="1" applyAlignment="1">
      <alignment horizontal="center" vertical="center"/>
    </xf>
    <xf numFmtId="167" fontId="32" fillId="0" borderId="11" xfId="244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30" fillId="0" borderId="0" xfId="244" applyFont="1" applyAlignment="1">
      <alignment horizontal="center" vertical="center"/>
    </xf>
    <xf numFmtId="0" fontId="32" fillId="0" borderId="0" xfId="244" applyFont="1" applyAlignment="1">
      <alignment horizontal="center" vertical="top"/>
    </xf>
    <xf numFmtId="0" fontId="26" fillId="0" borderId="0" xfId="0" applyFont="1" applyFill="1" applyAlignment="1">
      <alignment horizontal="center"/>
    </xf>
    <xf numFmtId="1" fontId="28" fillId="0" borderId="10" xfId="0" applyNumberFormat="1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</cellXfs>
  <cellStyles count="344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8"/>
  <sheetViews>
    <sheetView tabSelected="1" zoomScale="70" zoomScaleNormal="70" zoomScaleSheetLayoutView="5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B18" sqref="B18"/>
    </sheetView>
  </sheetViews>
  <sheetFormatPr defaultRowHeight="15.75" x14ac:dyDescent="0.25"/>
  <cols>
    <col min="1" max="1" width="10.875" style="9" customWidth="1"/>
    <col min="2" max="2" width="47.25" style="9" customWidth="1"/>
    <col min="3" max="3" width="13.25" style="9" customWidth="1"/>
    <col min="4" max="4" width="7.625" style="9" customWidth="1"/>
    <col min="5" max="5" width="7.25" style="9" customWidth="1"/>
    <col min="6" max="6" width="13" style="9" customWidth="1"/>
    <col min="7" max="7" width="14.375" style="9" customWidth="1"/>
    <col min="8" max="8" width="16" style="9" customWidth="1"/>
    <col min="9" max="9" width="16.875" style="9" customWidth="1"/>
    <col min="10" max="10" width="19" style="9" customWidth="1"/>
    <col min="11" max="11" width="9.25" style="9" customWidth="1"/>
    <col min="12" max="12" width="7.5" style="1" customWidth="1"/>
    <col min="13" max="13" width="9.5" style="1" customWidth="1"/>
    <col min="14" max="14" width="8.75" style="1" customWidth="1"/>
    <col min="15" max="15" width="9.25" style="1" customWidth="1"/>
    <col min="16" max="16" width="11.625" style="1" customWidth="1"/>
    <col min="17" max="17" width="7.875" style="1" customWidth="1"/>
    <col min="18" max="18" width="9.25" style="1" customWidth="1"/>
    <col min="19" max="19" width="9.75" style="1" customWidth="1"/>
    <col min="20" max="20" width="8.1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40" width="16.625" style="1" customWidth="1"/>
    <col min="41" max="41" width="26" style="1" customWidth="1"/>
    <col min="42" max="42" width="7.25" style="1" customWidth="1"/>
    <col min="43" max="43" width="9.875" style="1" customWidth="1"/>
    <col min="44" max="44" width="7.125" style="1" customWidth="1"/>
    <col min="45" max="45" width="6" style="9" customWidth="1"/>
    <col min="46" max="46" width="8.375" style="9" customWidth="1"/>
    <col min="47" max="47" width="5.625" style="9" customWidth="1"/>
    <col min="48" max="48" width="7.375" style="9" customWidth="1"/>
    <col min="49" max="49" width="10" style="9" customWidth="1"/>
    <col min="50" max="50" width="7.875" style="9" customWidth="1"/>
    <col min="51" max="51" width="6.75" style="9" customWidth="1"/>
    <col min="52" max="52" width="9" style="9" customWidth="1"/>
    <col min="53" max="53" width="6.125" style="9" customWidth="1"/>
    <col min="54" max="54" width="6.75" style="9" customWidth="1"/>
    <col min="55" max="55" width="9.375" style="9" customWidth="1"/>
    <col min="56" max="56" width="7.375" style="9" customWidth="1"/>
    <col min="57" max="63" width="7.25" style="9" customWidth="1"/>
    <col min="64" max="64" width="8.625" style="9" customWidth="1"/>
    <col min="65" max="65" width="6.125" style="9" customWidth="1"/>
    <col min="66" max="66" width="6.875" style="9" customWidth="1"/>
    <col min="67" max="67" width="9.625" style="9" customWidth="1"/>
    <col min="68" max="68" width="6.75" style="9" customWidth="1"/>
    <col min="69" max="69" width="7.75" style="9" customWidth="1"/>
    <col min="70" max="16384" width="9" style="9"/>
  </cols>
  <sheetData>
    <row r="1" spans="1:74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O1" s="8" t="s">
        <v>0</v>
      </c>
      <c r="AS1" s="1"/>
      <c r="AT1" s="1"/>
      <c r="AU1" s="1"/>
      <c r="AV1" s="1"/>
      <c r="AW1" s="1"/>
    </row>
    <row r="2" spans="1:74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O2" s="10" t="s">
        <v>1</v>
      </c>
      <c r="AS2" s="1"/>
      <c r="AT2" s="1"/>
      <c r="AU2" s="1"/>
      <c r="AV2" s="1"/>
      <c r="AW2" s="1"/>
    </row>
    <row r="3" spans="1:74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N3" s="9"/>
      <c r="AO3" s="10" t="s">
        <v>2</v>
      </c>
      <c r="AS3" s="1"/>
      <c r="AT3" s="1"/>
      <c r="AU3" s="1"/>
      <c r="AV3" s="1"/>
      <c r="AW3" s="1"/>
    </row>
    <row r="4" spans="1:74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S4" s="1"/>
      <c r="AT4" s="1"/>
      <c r="AU4" s="1"/>
      <c r="AV4" s="1"/>
      <c r="AW4" s="1"/>
    </row>
    <row r="5" spans="1:74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18"/>
      <c r="AF5" s="18"/>
      <c r="AG5" s="6"/>
      <c r="AH5" s="6"/>
      <c r="AI5" s="6"/>
      <c r="AJ5" s="6"/>
      <c r="AK5" s="7"/>
      <c r="AL5" s="7"/>
      <c r="AM5" s="6"/>
      <c r="AN5" s="6"/>
      <c r="AO5" s="6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</row>
    <row r="6" spans="1:74" ht="18.75" x14ac:dyDescent="0.25">
      <c r="A6" s="49" t="s">
        <v>38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</row>
    <row r="7" spans="1:74" x14ac:dyDescent="0.25">
      <c r="A7" s="50" t="s">
        <v>36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</row>
    <row r="8" spans="1:74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N8" s="10"/>
      <c r="AS8" s="1"/>
      <c r="AT8" s="1"/>
      <c r="AU8" s="1"/>
      <c r="AV8" s="1"/>
      <c r="AW8" s="1"/>
    </row>
    <row r="9" spans="1:74" ht="18.75" x14ac:dyDescent="0.3">
      <c r="A9" s="51" t="s">
        <v>108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</row>
    <row r="10" spans="1:74" ht="18.75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18"/>
      <c r="AF10" s="18"/>
      <c r="AG10" s="6"/>
      <c r="AH10" s="6"/>
      <c r="AI10" s="6"/>
      <c r="AJ10" s="6"/>
      <c r="AK10" s="7"/>
      <c r="AL10" s="7"/>
      <c r="AM10" s="6"/>
      <c r="AN10" s="6"/>
      <c r="AO10" s="6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</row>
    <row r="11" spans="1:74" ht="18.75" x14ac:dyDescent="0.3">
      <c r="A11" s="51" t="s">
        <v>48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</row>
    <row r="12" spans="1:74" x14ac:dyDescent="0.25">
      <c r="A12" s="46" t="s">
        <v>37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</row>
    <row r="13" spans="1:74" ht="15.75" customHeight="1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4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74" ht="72.75" customHeight="1" x14ac:dyDescent="0.25">
      <c r="A14" s="53" t="s">
        <v>4</v>
      </c>
      <c r="B14" s="53" t="s">
        <v>5</v>
      </c>
      <c r="C14" s="53" t="s">
        <v>6</v>
      </c>
      <c r="D14" s="54" t="s">
        <v>7</v>
      </c>
      <c r="E14" s="54" t="s">
        <v>8</v>
      </c>
      <c r="F14" s="53" t="s">
        <v>9</v>
      </c>
      <c r="G14" s="53"/>
      <c r="H14" s="53" t="s">
        <v>34</v>
      </c>
      <c r="I14" s="53"/>
      <c r="J14" s="55" t="s">
        <v>61</v>
      </c>
      <c r="K14" s="58" t="s">
        <v>10</v>
      </c>
      <c r="L14" s="59"/>
      <c r="M14" s="59"/>
      <c r="N14" s="59"/>
      <c r="O14" s="59"/>
      <c r="P14" s="59"/>
      <c r="Q14" s="59"/>
      <c r="R14" s="59"/>
      <c r="S14" s="59"/>
      <c r="T14" s="60"/>
      <c r="U14" s="58" t="s">
        <v>11</v>
      </c>
      <c r="V14" s="59"/>
      <c r="W14" s="59"/>
      <c r="X14" s="59"/>
      <c r="Y14" s="59"/>
      <c r="Z14" s="60"/>
      <c r="AA14" s="61" t="s">
        <v>57</v>
      </c>
      <c r="AB14" s="62"/>
      <c r="AC14" s="58" t="s">
        <v>12</v>
      </c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5" t="s">
        <v>13</v>
      </c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74" ht="66" customHeight="1" x14ac:dyDescent="0.25">
      <c r="A15" s="53"/>
      <c r="B15" s="53"/>
      <c r="C15" s="53"/>
      <c r="D15" s="54"/>
      <c r="E15" s="54"/>
      <c r="F15" s="53"/>
      <c r="G15" s="53"/>
      <c r="H15" s="53"/>
      <c r="I15" s="53"/>
      <c r="J15" s="56"/>
      <c r="K15" s="58" t="s">
        <v>14</v>
      </c>
      <c r="L15" s="59"/>
      <c r="M15" s="59"/>
      <c r="N15" s="59"/>
      <c r="O15" s="60"/>
      <c r="P15" s="58" t="s">
        <v>15</v>
      </c>
      <c r="Q15" s="59"/>
      <c r="R15" s="59"/>
      <c r="S15" s="59"/>
      <c r="T15" s="60"/>
      <c r="U15" s="53" t="s">
        <v>62</v>
      </c>
      <c r="V15" s="53"/>
      <c r="W15" s="58" t="s">
        <v>111</v>
      </c>
      <c r="X15" s="60"/>
      <c r="Y15" s="53" t="s">
        <v>112</v>
      </c>
      <c r="Z15" s="53"/>
      <c r="AA15" s="63"/>
      <c r="AB15" s="64"/>
      <c r="AC15" s="47" t="s">
        <v>56</v>
      </c>
      <c r="AD15" s="47"/>
      <c r="AE15" s="47" t="s">
        <v>52</v>
      </c>
      <c r="AF15" s="47"/>
      <c r="AG15" s="47" t="s">
        <v>53</v>
      </c>
      <c r="AH15" s="47"/>
      <c r="AI15" s="47" t="s">
        <v>54</v>
      </c>
      <c r="AJ15" s="47"/>
      <c r="AK15" s="47" t="s">
        <v>55</v>
      </c>
      <c r="AL15" s="47"/>
      <c r="AM15" s="53" t="s">
        <v>16</v>
      </c>
      <c r="AN15" s="53" t="s">
        <v>17</v>
      </c>
      <c r="AO15" s="56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4" ht="135" customHeight="1" x14ac:dyDescent="0.25">
      <c r="A16" s="53"/>
      <c r="B16" s="53"/>
      <c r="C16" s="53"/>
      <c r="D16" s="54"/>
      <c r="E16" s="54"/>
      <c r="F16" s="27" t="s">
        <v>14</v>
      </c>
      <c r="G16" s="27" t="s">
        <v>18</v>
      </c>
      <c r="H16" s="27" t="s">
        <v>19</v>
      </c>
      <c r="I16" s="27" t="s">
        <v>18</v>
      </c>
      <c r="J16" s="57"/>
      <c r="K16" s="26" t="s">
        <v>20</v>
      </c>
      <c r="L16" s="26" t="s">
        <v>21</v>
      </c>
      <c r="M16" s="26" t="s">
        <v>22</v>
      </c>
      <c r="N16" s="5" t="s">
        <v>23</v>
      </c>
      <c r="O16" s="5" t="s">
        <v>24</v>
      </c>
      <c r="P16" s="26" t="s">
        <v>20</v>
      </c>
      <c r="Q16" s="26" t="s">
        <v>21</v>
      </c>
      <c r="R16" s="26" t="s">
        <v>22</v>
      </c>
      <c r="S16" s="5" t="s">
        <v>23</v>
      </c>
      <c r="T16" s="5" t="s">
        <v>24</v>
      </c>
      <c r="U16" s="26" t="s">
        <v>25</v>
      </c>
      <c r="V16" s="26" t="s">
        <v>26</v>
      </c>
      <c r="W16" s="26" t="s">
        <v>25</v>
      </c>
      <c r="X16" s="26" t="s">
        <v>26</v>
      </c>
      <c r="Y16" s="26" t="s">
        <v>25</v>
      </c>
      <c r="Z16" s="26" t="s">
        <v>26</v>
      </c>
      <c r="AA16" s="25" t="s">
        <v>49</v>
      </c>
      <c r="AB16" s="25" t="s">
        <v>50</v>
      </c>
      <c r="AC16" s="25" t="s">
        <v>51</v>
      </c>
      <c r="AD16" s="25" t="s">
        <v>50</v>
      </c>
      <c r="AE16" s="25" t="s">
        <v>51</v>
      </c>
      <c r="AF16" s="25" t="s">
        <v>50</v>
      </c>
      <c r="AG16" s="25" t="s">
        <v>51</v>
      </c>
      <c r="AH16" s="33" t="s">
        <v>50</v>
      </c>
      <c r="AI16" s="25" t="s">
        <v>51</v>
      </c>
      <c r="AJ16" s="40" t="s">
        <v>50</v>
      </c>
      <c r="AK16" s="25" t="s">
        <v>51</v>
      </c>
      <c r="AL16" s="25" t="s">
        <v>18</v>
      </c>
      <c r="AM16" s="53"/>
      <c r="AN16" s="53"/>
      <c r="AO16" s="57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ht="19.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14" t="s">
        <v>27</v>
      </c>
      <c r="AD17" s="14" t="s">
        <v>28</v>
      </c>
      <c r="AE17" s="14" t="s">
        <v>29</v>
      </c>
      <c r="AF17" s="14" t="s">
        <v>30</v>
      </c>
      <c r="AG17" s="14" t="s">
        <v>31</v>
      </c>
      <c r="AH17" s="14" t="s">
        <v>32</v>
      </c>
      <c r="AI17" s="14" t="s">
        <v>63</v>
      </c>
      <c r="AJ17" s="14" t="s">
        <v>64</v>
      </c>
      <c r="AK17" s="14" t="s">
        <v>65</v>
      </c>
      <c r="AL17" s="14" t="s">
        <v>66</v>
      </c>
      <c r="AM17" s="25">
        <v>30</v>
      </c>
      <c r="AN17" s="25">
        <v>31</v>
      </c>
      <c r="AO17" s="25">
        <v>32</v>
      </c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ht="31.5" x14ac:dyDescent="0.25">
      <c r="A18" s="20" t="s">
        <v>39</v>
      </c>
      <c r="B18" s="28" t="s">
        <v>35</v>
      </c>
      <c r="C18" s="29" t="s">
        <v>33</v>
      </c>
      <c r="D18" s="29" t="s">
        <v>33</v>
      </c>
      <c r="E18" s="29" t="s">
        <v>33</v>
      </c>
      <c r="F18" s="29" t="s">
        <v>33</v>
      </c>
      <c r="G18" s="29" t="s">
        <v>33</v>
      </c>
      <c r="H18" s="41">
        <f>H19+H20</f>
        <v>85.642405084745747</v>
      </c>
      <c r="I18" s="41">
        <f>I19+I20</f>
        <v>89.674816666666658</v>
      </c>
      <c r="J18" s="30" t="s">
        <v>33</v>
      </c>
      <c r="K18" s="41">
        <f t="shared" ref="K18:T18" si="0">K19+K20</f>
        <v>85.642405084745747</v>
      </c>
      <c r="L18" s="41">
        <f t="shared" si="0"/>
        <v>0</v>
      </c>
      <c r="M18" s="41">
        <f t="shared" si="0"/>
        <v>29.2881</v>
      </c>
      <c r="N18" s="41">
        <f t="shared" si="0"/>
        <v>41.271305084745755</v>
      </c>
      <c r="O18" s="41">
        <f t="shared" si="0"/>
        <v>15.082999999999998</v>
      </c>
      <c r="P18" s="41">
        <f t="shared" si="0"/>
        <v>89.674816666666658</v>
      </c>
      <c r="Q18" s="41">
        <f t="shared" si="0"/>
        <v>0</v>
      </c>
      <c r="R18" s="41">
        <f t="shared" si="0"/>
        <v>34.711999999999996</v>
      </c>
      <c r="S18" s="41">
        <f t="shared" si="0"/>
        <v>33.843816666666662</v>
      </c>
      <c r="T18" s="41">
        <f t="shared" si="0"/>
        <v>21.119</v>
      </c>
      <c r="U18" s="19" t="s">
        <v>33</v>
      </c>
      <c r="V18" s="19" t="s">
        <v>33</v>
      </c>
      <c r="W18" s="19" t="s">
        <v>33</v>
      </c>
      <c r="X18" s="41">
        <f t="shared" ref="X18" si="1">X19+X20</f>
        <v>38.600399999999993</v>
      </c>
      <c r="Y18" s="19" t="s">
        <v>33</v>
      </c>
      <c r="Z18" s="41">
        <f t="shared" ref="Z18" si="2">Z19+Z20</f>
        <v>43.164000000000001</v>
      </c>
      <c r="AA18" s="19" t="s">
        <v>33</v>
      </c>
      <c r="AB18" s="19" t="s">
        <v>33</v>
      </c>
      <c r="AC18" s="41">
        <f t="shared" ref="AC18:AH18" si="3">AC19+AC20</f>
        <v>8.8533050847457631</v>
      </c>
      <c r="AD18" s="41">
        <f t="shared" si="3"/>
        <v>11.432833333333335</v>
      </c>
      <c r="AE18" s="41">
        <f t="shared" si="3"/>
        <v>9.6560000000000006</v>
      </c>
      <c r="AF18" s="41">
        <f t="shared" si="3"/>
        <v>6.7270833333333337</v>
      </c>
      <c r="AG18" s="41">
        <f t="shared" si="3"/>
        <v>10.4659</v>
      </c>
      <c r="AH18" s="41">
        <f t="shared" si="3"/>
        <v>10.4659</v>
      </c>
      <c r="AI18" s="41">
        <f t="shared" ref="AI18:AJ18" si="4">AI19+AI20</f>
        <v>18.066499999999998</v>
      </c>
      <c r="AJ18" s="41">
        <f t="shared" si="4"/>
        <v>17.884999999999998</v>
      </c>
      <c r="AK18" s="41">
        <f t="shared" ref="AK18:AL18" si="5">AK19+AK20</f>
        <v>38.600399999999993</v>
      </c>
      <c r="AL18" s="41">
        <f t="shared" si="5"/>
        <v>43.164000000000001</v>
      </c>
      <c r="AM18" s="41">
        <f t="shared" ref="AM18:AN18" si="6">AM19+AM20</f>
        <v>85.11121666666665</v>
      </c>
      <c r="AN18" s="41">
        <f t="shared" si="6"/>
        <v>89.674816666666658</v>
      </c>
      <c r="AO18" s="19" t="s">
        <v>33</v>
      </c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</row>
    <row r="19" spans="1:69" ht="31.5" x14ac:dyDescent="0.25">
      <c r="A19" s="20" t="s">
        <v>67</v>
      </c>
      <c r="B19" s="28" t="s">
        <v>68</v>
      </c>
      <c r="C19" s="29" t="s">
        <v>33</v>
      </c>
      <c r="D19" s="29" t="s">
        <v>33</v>
      </c>
      <c r="E19" s="29" t="s">
        <v>33</v>
      </c>
      <c r="F19" s="29" t="s">
        <v>33</v>
      </c>
      <c r="G19" s="29" t="s">
        <v>33</v>
      </c>
      <c r="H19" s="41">
        <f>H21</f>
        <v>29.2881</v>
      </c>
      <c r="I19" s="41">
        <f>I21</f>
        <v>34.711999999999996</v>
      </c>
      <c r="J19" s="30" t="s">
        <v>33</v>
      </c>
      <c r="K19" s="41">
        <f t="shared" ref="K19:T19" si="7">K21</f>
        <v>29.2881</v>
      </c>
      <c r="L19" s="41">
        <f t="shared" si="7"/>
        <v>0</v>
      </c>
      <c r="M19" s="41">
        <f t="shared" si="7"/>
        <v>29.2881</v>
      </c>
      <c r="N19" s="41">
        <f t="shared" si="7"/>
        <v>0</v>
      </c>
      <c r="O19" s="41">
        <f t="shared" si="7"/>
        <v>0</v>
      </c>
      <c r="P19" s="41">
        <f t="shared" si="7"/>
        <v>34.711999999999996</v>
      </c>
      <c r="Q19" s="41">
        <f t="shared" si="7"/>
        <v>0</v>
      </c>
      <c r="R19" s="41">
        <f t="shared" si="7"/>
        <v>34.711999999999996</v>
      </c>
      <c r="S19" s="41">
        <f t="shared" si="7"/>
        <v>0</v>
      </c>
      <c r="T19" s="41">
        <f t="shared" si="7"/>
        <v>0</v>
      </c>
      <c r="U19" s="19" t="s">
        <v>33</v>
      </c>
      <c r="V19" s="19" t="s">
        <v>33</v>
      </c>
      <c r="W19" s="19" t="s">
        <v>33</v>
      </c>
      <c r="X19" s="41">
        <f t="shared" ref="X19" si="8">X21</f>
        <v>14.324999999999999</v>
      </c>
      <c r="Y19" s="19" t="s">
        <v>33</v>
      </c>
      <c r="Z19" s="41">
        <f t="shared" ref="Z19" si="9">Z21</f>
        <v>19.93</v>
      </c>
      <c r="AA19" s="19" t="s">
        <v>33</v>
      </c>
      <c r="AB19" s="19" t="s">
        <v>33</v>
      </c>
      <c r="AC19" s="41">
        <f t="shared" ref="AC19:AH19" si="10">AC21</f>
        <v>0</v>
      </c>
      <c r="AD19" s="41">
        <f t="shared" si="10"/>
        <v>0</v>
      </c>
      <c r="AE19" s="41">
        <f t="shared" si="10"/>
        <v>0</v>
      </c>
      <c r="AF19" s="41">
        <f t="shared" si="10"/>
        <v>0</v>
      </c>
      <c r="AG19" s="41">
        <f t="shared" si="10"/>
        <v>0</v>
      </c>
      <c r="AH19" s="41">
        <f t="shared" si="10"/>
        <v>0</v>
      </c>
      <c r="AI19" s="41">
        <f t="shared" ref="AI19:AJ19" si="11">AI21</f>
        <v>14.9635</v>
      </c>
      <c r="AJ19" s="41">
        <f t="shared" si="11"/>
        <v>14.782</v>
      </c>
      <c r="AK19" s="41">
        <f t="shared" ref="AK19:AL19" si="12">AK21</f>
        <v>14.324999999999999</v>
      </c>
      <c r="AL19" s="41">
        <f t="shared" si="12"/>
        <v>19.93</v>
      </c>
      <c r="AM19" s="41">
        <f t="shared" ref="AM19:AN19" si="13">AM21</f>
        <v>29.106999999999999</v>
      </c>
      <c r="AN19" s="41">
        <f t="shared" si="13"/>
        <v>34.711999999999996</v>
      </c>
      <c r="AO19" s="19" t="s">
        <v>33</v>
      </c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</row>
    <row r="20" spans="1:69" x14ac:dyDescent="0.25">
      <c r="A20" s="20" t="s">
        <v>69</v>
      </c>
      <c r="B20" s="28" t="s">
        <v>70</v>
      </c>
      <c r="C20" s="29" t="s">
        <v>33</v>
      </c>
      <c r="D20" s="29" t="s">
        <v>33</v>
      </c>
      <c r="E20" s="29" t="s">
        <v>33</v>
      </c>
      <c r="F20" s="29" t="s">
        <v>33</v>
      </c>
      <c r="G20" s="29" t="s">
        <v>33</v>
      </c>
      <c r="H20" s="41">
        <f>H38</f>
        <v>56.354305084745754</v>
      </c>
      <c r="I20" s="41">
        <f>I38</f>
        <v>54.962816666666654</v>
      </c>
      <c r="J20" s="30" t="s">
        <v>33</v>
      </c>
      <c r="K20" s="41">
        <f t="shared" ref="K20:T20" si="14">K38</f>
        <v>56.354305084745754</v>
      </c>
      <c r="L20" s="41">
        <f t="shared" si="14"/>
        <v>0</v>
      </c>
      <c r="M20" s="41">
        <f t="shared" si="14"/>
        <v>0</v>
      </c>
      <c r="N20" s="41">
        <f t="shared" si="14"/>
        <v>41.271305084745755</v>
      </c>
      <c r="O20" s="41">
        <f t="shared" si="14"/>
        <v>15.082999999999998</v>
      </c>
      <c r="P20" s="41">
        <f t="shared" si="14"/>
        <v>54.962816666666654</v>
      </c>
      <c r="Q20" s="41">
        <f t="shared" si="14"/>
        <v>0</v>
      </c>
      <c r="R20" s="41">
        <f t="shared" si="14"/>
        <v>0</v>
      </c>
      <c r="S20" s="41">
        <f t="shared" si="14"/>
        <v>33.843816666666662</v>
      </c>
      <c r="T20" s="41">
        <f t="shared" si="14"/>
        <v>21.119</v>
      </c>
      <c r="U20" s="19" t="s">
        <v>33</v>
      </c>
      <c r="V20" s="19" t="s">
        <v>33</v>
      </c>
      <c r="W20" s="19" t="s">
        <v>33</v>
      </c>
      <c r="X20" s="41">
        <f t="shared" ref="X20" si="15">X38</f>
        <v>24.275399999999998</v>
      </c>
      <c r="Y20" s="19" t="s">
        <v>33</v>
      </c>
      <c r="Z20" s="41">
        <f t="shared" ref="Z20" si="16">Z38</f>
        <v>23.234000000000002</v>
      </c>
      <c r="AA20" s="19" t="s">
        <v>33</v>
      </c>
      <c r="AB20" s="19" t="s">
        <v>33</v>
      </c>
      <c r="AC20" s="41">
        <f t="shared" ref="AC20:AH20" si="17">AC38</f>
        <v>8.8533050847457631</v>
      </c>
      <c r="AD20" s="41">
        <f t="shared" si="17"/>
        <v>11.432833333333335</v>
      </c>
      <c r="AE20" s="41">
        <f t="shared" si="17"/>
        <v>9.6560000000000006</v>
      </c>
      <c r="AF20" s="41">
        <f t="shared" si="17"/>
        <v>6.7270833333333337</v>
      </c>
      <c r="AG20" s="41">
        <f t="shared" si="17"/>
        <v>10.4659</v>
      </c>
      <c r="AH20" s="41">
        <f t="shared" si="17"/>
        <v>10.4659</v>
      </c>
      <c r="AI20" s="41">
        <f t="shared" ref="AI20:AJ20" si="18">AI38</f>
        <v>3.1029999999999998</v>
      </c>
      <c r="AJ20" s="41">
        <f t="shared" si="18"/>
        <v>3.1029999999999998</v>
      </c>
      <c r="AK20" s="41">
        <f t="shared" ref="AK20:AL20" si="19">AK38</f>
        <v>24.275399999999998</v>
      </c>
      <c r="AL20" s="41">
        <f t="shared" si="19"/>
        <v>23.234000000000002</v>
      </c>
      <c r="AM20" s="41">
        <f t="shared" ref="AM20:AN20" si="20">AM38</f>
        <v>56.004216666666657</v>
      </c>
      <c r="AN20" s="41">
        <f t="shared" si="20"/>
        <v>54.962816666666654</v>
      </c>
      <c r="AO20" s="19" t="s">
        <v>33</v>
      </c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</row>
    <row r="21" spans="1:69" ht="31.5" x14ac:dyDescent="0.25">
      <c r="A21" s="20" t="s">
        <v>71</v>
      </c>
      <c r="B21" s="28" t="s">
        <v>72</v>
      </c>
      <c r="C21" s="29" t="s">
        <v>33</v>
      </c>
      <c r="D21" s="29" t="s">
        <v>33</v>
      </c>
      <c r="E21" s="29" t="s">
        <v>33</v>
      </c>
      <c r="F21" s="29" t="s">
        <v>33</v>
      </c>
      <c r="G21" s="29" t="s">
        <v>33</v>
      </c>
      <c r="H21" s="41">
        <f>H22+H27+H31</f>
        <v>29.2881</v>
      </c>
      <c r="I21" s="41">
        <f>I22+I27+I31</f>
        <v>34.711999999999996</v>
      </c>
      <c r="J21" s="30" t="s">
        <v>33</v>
      </c>
      <c r="K21" s="41">
        <f>K22+K27+K31</f>
        <v>29.2881</v>
      </c>
      <c r="L21" s="41">
        <f t="shared" ref="L21:O21" si="21">L22+L27+L31</f>
        <v>0</v>
      </c>
      <c r="M21" s="41">
        <f t="shared" si="21"/>
        <v>29.2881</v>
      </c>
      <c r="N21" s="41">
        <f t="shared" si="21"/>
        <v>0</v>
      </c>
      <c r="O21" s="41">
        <f t="shared" si="21"/>
        <v>0</v>
      </c>
      <c r="P21" s="41">
        <f t="shared" ref="P21" si="22">P22+P27+P31</f>
        <v>34.711999999999996</v>
      </c>
      <c r="Q21" s="41">
        <f t="shared" ref="Q21" si="23">Q22+Q27+Q31</f>
        <v>0</v>
      </c>
      <c r="R21" s="41">
        <f t="shared" ref="R21" si="24">R22+R27+R31</f>
        <v>34.711999999999996</v>
      </c>
      <c r="S21" s="41">
        <f t="shared" ref="S21" si="25">S22+S27+S31</f>
        <v>0</v>
      </c>
      <c r="T21" s="41">
        <f t="shared" ref="T21" si="26">T22+T27+T31</f>
        <v>0</v>
      </c>
      <c r="U21" s="19" t="s">
        <v>33</v>
      </c>
      <c r="V21" s="19" t="s">
        <v>33</v>
      </c>
      <c r="W21" s="19" t="s">
        <v>33</v>
      </c>
      <c r="X21" s="41">
        <f t="shared" ref="X21:Z21" si="27">X22+X27+X31</f>
        <v>14.324999999999999</v>
      </c>
      <c r="Y21" s="19" t="s">
        <v>33</v>
      </c>
      <c r="Z21" s="41">
        <f t="shared" si="27"/>
        <v>19.93</v>
      </c>
      <c r="AA21" s="19" t="s">
        <v>33</v>
      </c>
      <c r="AB21" s="19" t="s">
        <v>33</v>
      </c>
      <c r="AC21" s="41">
        <f t="shared" ref="AC21" si="28">AC22+AC27+AC31</f>
        <v>0</v>
      </c>
      <c r="AD21" s="41">
        <f t="shared" ref="AD21" si="29">AD22+AD27+AD31</f>
        <v>0</v>
      </c>
      <c r="AE21" s="41">
        <f t="shared" ref="AE21" si="30">AE22+AE27+AE31</f>
        <v>0</v>
      </c>
      <c r="AF21" s="41">
        <f t="shared" ref="AF21" si="31">AF22+AF27+AF31</f>
        <v>0</v>
      </c>
      <c r="AG21" s="41">
        <f t="shared" ref="AG21" si="32">AG22+AG27+AG31</f>
        <v>0</v>
      </c>
      <c r="AH21" s="41">
        <f t="shared" ref="AH21" si="33">AH22+AH27+AH31</f>
        <v>0</v>
      </c>
      <c r="AI21" s="41">
        <f t="shared" ref="AI21" si="34">AI22+AI27+AI31</f>
        <v>14.9635</v>
      </c>
      <c r="AJ21" s="41">
        <f t="shared" ref="AJ21" si="35">AJ22+AJ27+AJ31</f>
        <v>14.782</v>
      </c>
      <c r="AK21" s="41">
        <f t="shared" ref="AK21" si="36">AK22+AK27+AK31</f>
        <v>14.324999999999999</v>
      </c>
      <c r="AL21" s="41">
        <f t="shared" ref="AL21" si="37">AL22+AL27+AL31</f>
        <v>19.93</v>
      </c>
      <c r="AM21" s="41">
        <f t="shared" ref="AM21" si="38">AM22+AM27+AM31</f>
        <v>29.106999999999999</v>
      </c>
      <c r="AN21" s="41">
        <f t="shared" ref="AN21" si="39">AN22+AN27+AN31</f>
        <v>34.711999999999996</v>
      </c>
      <c r="AO21" s="19" t="s">
        <v>33</v>
      </c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</row>
    <row r="22" spans="1:69" ht="63" x14ac:dyDescent="0.25">
      <c r="A22" s="20" t="s">
        <v>99</v>
      </c>
      <c r="B22" s="28" t="s">
        <v>100</v>
      </c>
      <c r="C22" s="29" t="s">
        <v>33</v>
      </c>
      <c r="D22" s="29" t="s">
        <v>33</v>
      </c>
      <c r="E22" s="29" t="s">
        <v>33</v>
      </c>
      <c r="F22" s="29" t="s">
        <v>33</v>
      </c>
      <c r="G22" s="29" t="s">
        <v>33</v>
      </c>
      <c r="H22" s="41">
        <f>H23+H25</f>
        <v>0.47299999999999998</v>
      </c>
      <c r="I22" s="41">
        <f>I23+I25</f>
        <v>2.9950000000000001</v>
      </c>
      <c r="J22" s="30" t="s">
        <v>33</v>
      </c>
      <c r="K22" s="41">
        <f t="shared" ref="K22:T22" si="40">K23+K25</f>
        <v>0.47299999999999998</v>
      </c>
      <c r="L22" s="41">
        <f t="shared" si="40"/>
        <v>0</v>
      </c>
      <c r="M22" s="41">
        <f t="shared" si="40"/>
        <v>0.47299999999999998</v>
      </c>
      <c r="N22" s="41">
        <f t="shared" si="40"/>
        <v>0</v>
      </c>
      <c r="O22" s="41">
        <f t="shared" si="40"/>
        <v>0</v>
      </c>
      <c r="P22" s="41">
        <f t="shared" si="40"/>
        <v>2.9950000000000001</v>
      </c>
      <c r="Q22" s="41">
        <f t="shared" si="40"/>
        <v>0</v>
      </c>
      <c r="R22" s="41">
        <f t="shared" si="40"/>
        <v>2.9950000000000001</v>
      </c>
      <c r="S22" s="41">
        <f t="shared" si="40"/>
        <v>0</v>
      </c>
      <c r="T22" s="41">
        <f t="shared" si="40"/>
        <v>0</v>
      </c>
      <c r="U22" s="19" t="s">
        <v>33</v>
      </c>
      <c r="V22" s="19" t="s">
        <v>33</v>
      </c>
      <c r="W22" s="19" t="s">
        <v>33</v>
      </c>
      <c r="X22" s="41">
        <f>X23+X25</f>
        <v>0</v>
      </c>
      <c r="Y22" s="19" t="s">
        <v>33</v>
      </c>
      <c r="Z22" s="41">
        <f>Z23+Z25</f>
        <v>2.5409999999999999</v>
      </c>
      <c r="AA22" s="19" t="s">
        <v>33</v>
      </c>
      <c r="AB22" s="19" t="s">
        <v>33</v>
      </c>
      <c r="AC22" s="41">
        <f>AC23+AC25</f>
        <v>0</v>
      </c>
      <c r="AD22" s="41">
        <f t="shared" ref="AD22:AL22" si="41">AD23+AD25</f>
        <v>0</v>
      </c>
      <c r="AE22" s="41">
        <f t="shared" si="41"/>
        <v>0</v>
      </c>
      <c r="AF22" s="41">
        <f t="shared" si="41"/>
        <v>0</v>
      </c>
      <c r="AG22" s="41">
        <f t="shared" si="41"/>
        <v>0</v>
      </c>
      <c r="AH22" s="41">
        <f t="shared" si="41"/>
        <v>0</v>
      </c>
      <c r="AI22" s="41">
        <f t="shared" si="41"/>
        <v>0.47299999999999998</v>
      </c>
      <c r="AJ22" s="41">
        <f t="shared" si="41"/>
        <v>0.45400000000000001</v>
      </c>
      <c r="AK22" s="41">
        <f t="shared" si="41"/>
        <v>0</v>
      </c>
      <c r="AL22" s="41">
        <f t="shared" si="41"/>
        <v>2.5409999999999999</v>
      </c>
      <c r="AM22" s="41">
        <f t="shared" ref="AM22" si="42">AM23+AM25</f>
        <v>0.45400000000000001</v>
      </c>
      <c r="AN22" s="41">
        <f t="shared" ref="AN22" si="43">AN23+AN25</f>
        <v>2.9950000000000001</v>
      </c>
      <c r="AO22" s="19" t="s">
        <v>33</v>
      </c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</row>
    <row r="23" spans="1:69" ht="31.5" x14ac:dyDescent="0.25">
      <c r="A23" s="20" t="s">
        <v>101</v>
      </c>
      <c r="B23" s="28" t="s">
        <v>102</v>
      </c>
      <c r="C23" s="29" t="s">
        <v>33</v>
      </c>
      <c r="D23" s="29" t="s">
        <v>33</v>
      </c>
      <c r="E23" s="29" t="s">
        <v>33</v>
      </c>
      <c r="F23" s="29" t="s">
        <v>33</v>
      </c>
      <c r="G23" s="29" t="s">
        <v>33</v>
      </c>
      <c r="H23" s="41">
        <f>H24</f>
        <v>0.47299999999999998</v>
      </c>
      <c r="I23" s="41">
        <f>I24</f>
        <v>0.45400000000000001</v>
      </c>
      <c r="J23" s="30" t="s">
        <v>33</v>
      </c>
      <c r="K23" s="41">
        <f>K24</f>
        <v>0.47299999999999998</v>
      </c>
      <c r="L23" s="41">
        <f t="shared" ref="L23:O25" si="44">L24</f>
        <v>0</v>
      </c>
      <c r="M23" s="41">
        <f t="shared" si="44"/>
        <v>0.47299999999999998</v>
      </c>
      <c r="N23" s="41">
        <f t="shared" si="44"/>
        <v>0</v>
      </c>
      <c r="O23" s="41">
        <f t="shared" si="44"/>
        <v>0</v>
      </c>
      <c r="P23" s="41">
        <f t="shared" ref="P23:P25" si="45">P24</f>
        <v>0.45400000000000001</v>
      </c>
      <c r="Q23" s="41">
        <f t="shared" ref="Q23:Q25" si="46">Q24</f>
        <v>0</v>
      </c>
      <c r="R23" s="41">
        <f t="shared" ref="R23:R25" si="47">R24</f>
        <v>0.45400000000000001</v>
      </c>
      <c r="S23" s="41">
        <f t="shared" ref="S23:S25" si="48">S24</f>
        <v>0</v>
      </c>
      <c r="T23" s="41">
        <f t="shared" ref="T23:T25" si="49">T24</f>
        <v>0</v>
      </c>
      <c r="U23" s="19" t="s">
        <v>33</v>
      </c>
      <c r="V23" s="19" t="s">
        <v>33</v>
      </c>
      <c r="W23" s="19" t="s">
        <v>33</v>
      </c>
      <c r="X23" s="41">
        <f t="shared" ref="X23:Z25" si="50">X24</f>
        <v>0</v>
      </c>
      <c r="Y23" s="19" t="s">
        <v>33</v>
      </c>
      <c r="Z23" s="41">
        <f t="shared" si="50"/>
        <v>0</v>
      </c>
      <c r="AA23" s="19" t="s">
        <v>33</v>
      </c>
      <c r="AB23" s="19" t="s">
        <v>33</v>
      </c>
      <c r="AC23" s="41">
        <f t="shared" ref="AC23:AC25" si="51">AC24</f>
        <v>0</v>
      </c>
      <c r="AD23" s="41">
        <f t="shared" ref="AD23:AD25" si="52">AD24</f>
        <v>0</v>
      </c>
      <c r="AE23" s="41">
        <f t="shared" ref="AE23:AE25" si="53">AE24</f>
        <v>0</v>
      </c>
      <c r="AF23" s="41">
        <f t="shared" ref="AF23:AF25" si="54">AF24</f>
        <v>0</v>
      </c>
      <c r="AG23" s="41">
        <f t="shared" ref="AG23:AG25" si="55">AG24</f>
        <v>0</v>
      </c>
      <c r="AH23" s="41">
        <f t="shared" ref="AH23:AH25" si="56">AH24</f>
        <v>0</v>
      </c>
      <c r="AI23" s="41">
        <f t="shared" ref="AI23:AI25" si="57">AI24</f>
        <v>0.47299999999999998</v>
      </c>
      <c r="AJ23" s="41">
        <f t="shared" ref="AJ23:AJ25" si="58">AJ24</f>
        <v>0.45400000000000001</v>
      </c>
      <c r="AK23" s="41">
        <f t="shared" ref="AK23:AK25" si="59">AK24</f>
        <v>0</v>
      </c>
      <c r="AL23" s="41">
        <f t="shared" ref="AL23:AL25" si="60">AL24</f>
        <v>0</v>
      </c>
      <c r="AM23" s="41">
        <f t="shared" ref="AM23:AM25" si="61">AM24</f>
        <v>0.45400000000000001</v>
      </c>
      <c r="AN23" s="41">
        <f t="shared" ref="AN23:AN25" si="62">AN24</f>
        <v>0.45400000000000001</v>
      </c>
      <c r="AO23" s="19" t="s">
        <v>33</v>
      </c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</row>
    <row r="24" spans="1:69" ht="31.5" x14ac:dyDescent="0.25">
      <c r="A24" s="31" t="s">
        <v>101</v>
      </c>
      <c r="B24" s="32" t="s">
        <v>103</v>
      </c>
      <c r="C24" s="29" t="s">
        <v>104</v>
      </c>
      <c r="D24" s="29" t="s">
        <v>60</v>
      </c>
      <c r="E24" s="29">
        <v>2022</v>
      </c>
      <c r="F24" s="29">
        <v>2022</v>
      </c>
      <c r="G24" s="29">
        <v>2022</v>
      </c>
      <c r="H24" s="42">
        <f>ROUND(0.5681/1.2,3)</f>
        <v>0.47299999999999998</v>
      </c>
      <c r="I24" s="42">
        <f>P24</f>
        <v>0.45400000000000001</v>
      </c>
      <c r="J24" s="29" t="s">
        <v>33</v>
      </c>
      <c r="K24" s="42">
        <f>SUM(L24:O24)</f>
        <v>0.47299999999999998</v>
      </c>
      <c r="L24" s="42">
        <v>0</v>
      </c>
      <c r="M24" s="42">
        <f>ROUND(0.5681/1.2,3)</f>
        <v>0.47299999999999998</v>
      </c>
      <c r="N24" s="42">
        <v>0</v>
      </c>
      <c r="O24" s="42">
        <v>0</v>
      </c>
      <c r="P24" s="42">
        <f>Z24+AD24+AF24+AH24+AJ24</f>
        <v>0.45400000000000001</v>
      </c>
      <c r="Q24" s="42">
        <v>0</v>
      </c>
      <c r="R24" s="42">
        <f>P24</f>
        <v>0.45400000000000001</v>
      </c>
      <c r="S24" s="42">
        <v>0</v>
      </c>
      <c r="T24" s="42">
        <v>0</v>
      </c>
      <c r="U24" s="36" t="s">
        <v>33</v>
      </c>
      <c r="V24" s="36" t="s">
        <v>33</v>
      </c>
      <c r="W24" s="36" t="s">
        <v>33</v>
      </c>
      <c r="X24" s="42">
        <f>AK24</f>
        <v>0</v>
      </c>
      <c r="Y24" s="36" t="s">
        <v>33</v>
      </c>
      <c r="Z24" s="42">
        <f>AL24</f>
        <v>0</v>
      </c>
      <c r="AA24" s="36" t="s">
        <v>33</v>
      </c>
      <c r="AB24" s="36" t="s">
        <v>33</v>
      </c>
      <c r="AC24" s="42">
        <v>0</v>
      </c>
      <c r="AD24" s="42">
        <v>0</v>
      </c>
      <c r="AE24" s="42">
        <v>0</v>
      </c>
      <c r="AF24" s="42">
        <v>0</v>
      </c>
      <c r="AG24" s="42">
        <v>0</v>
      </c>
      <c r="AH24" s="42">
        <v>0</v>
      </c>
      <c r="AI24" s="42">
        <f>ROUND(0.5681/1.2,3)</f>
        <v>0.47299999999999998</v>
      </c>
      <c r="AJ24" s="42">
        <f>ROUND(545000/1000000/1.2,3)</f>
        <v>0.45400000000000001</v>
      </c>
      <c r="AK24" s="42">
        <v>0</v>
      </c>
      <c r="AL24" s="42">
        <v>0</v>
      </c>
      <c r="AM24" s="42">
        <f>AD24+AF24+AH24+AJ24+AK24</f>
        <v>0.45400000000000001</v>
      </c>
      <c r="AN24" s="42">
        <f t="shared" ref="AN24" si="63">AD24+AF24+AH24+AJ24+AL24</f>
        <v>0.45400000000000001</v>
      </c>
      <c r="AO24" s="2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</row>
    <row r="25" spans="1:69" ht="47.25" x14ac:dyDescent="0.25">
      <c r="A25" s="20" t="s">
        <v>119</v>
      </c>
      <c r="B25" s="28" t="s">
        <v>120</v>
      </c>
      <c r="C25" s="29" t="s">
        <v>33</v>
      </c>
      <c r="D25" s="29" t="s">
        <v>33</v>
      </c>
      <c r="E25" s="29" t="s">
        <v>33</v>
      </c>
      <c r="F25" s="29" t="s">
        <v>33</v>
      </c>
      <c r="G25" s="29" t="s">
        <v>33</v>
      </c>
      <c r="H25" s="41">
        <f>H26</f>
        <v>0</v>
      </c>
      <c r="I25" s="41">
        <f>I26</f>
        <v>2.5409999999999999</v>
      </c>
      <c r="J25" s="30" t="s">
        <v>33</v>
      </c>
      <c r="K25" s="41">
        <f>K26</f>
        <v>0</v>
      </c>
      <c r="L25" s="41">
        <f t="shared" si="44"/>
        <v>0</v>
      </c>
      <c r="M25" s="41">
        <f t="shared" si="44"/>
        <v>0</v>
      </c>
      <c r="N25" s="41">
        <f t="shared" si="44"/>
        <v>0</v>
      </c>
      <c r="O25" s="41">
        <f t="shared" si="44"/>
        <v>0</v>
      </c>
      <c r="P25" s="41">
        <f t="shared" si="45"/>
        <v>2.5409999999999999</v>
      </c>
      <c r="Q25" s="41">
        <f t="shared" si="46"/>
        <v>0</v>
      </c>
      <c r="R25" s="41">
        <f t="shared" si="47"/>
        <v>2.5409999999999999</v>
      </c>
      <c r="S25" s="41">
        <f t="shared" si="48"/>
        <v>0</v>
      </c>
      <c r="T25" s="41">
        <f t="shared" si="49"/>
        <v>0</v>
      </c>
      <c r="U25" s="19" t="s">
        <v>33</v>
      </c>
      <c r="V25" s="19" t="s">
        <v>33</v>
      </c>
      <c r="W25" s="19" t="s">
        <v>33</v>
      </c>
      <c r="X25" s="41">
        <f t="shared" si="50"/>
        <v>0</v>
      </c>
      <c r="Y25" s="19" t="s">
        <v>33</v>
      </c>
      <c r="Z25" s="41">
        <f t="shared" si="50"/>
        <v>2.5409999999999999</v>
      </c>
      <c r="AA25" s="19" t="s">
        <v>33</v>
      </c>
      <c r="AB25" s="19" t="s">
        <v>33</v>
      </c>
      <c r="AC25" s="41">
        <f t="shared" si="51"/>
        <v>0</v>
      </c>
      <c r="AD25" s="41">
        <f t="shared" si="52"/>
        <v>0</v>
      </c>
      <c r="AE25" s="41">
        <f t="shared" si="53"/>
        <v>0</v>
      </c>
      <c r="AF25" s="41">
        <f t="shared" si="54"/>
        <v>0</v>
      </c>
      <c r="AG25" s="41">
        <f t="shared" si="55"/>
        <v>0</v>
      </c>
      <c r="AH25" s="41">
        <f t="shared" si="56"/>
        <v>0</v>
      </c>
      <c r="AI25" s="41">
        <f t="shared" si="57"/>
        <v>0</v>
      </c>
      <c r="AJ25" s="41">
        <f t="shared" si="58"/>
        <v>0</v>
      </c>
      <c r="AK25" s="41">
        <f t="shared" si="59"/>
        <v>0</v>
      </c>
      <c r="AL25" s="41">
        <f t="shared" si="60"/>
        <v>2.5409999999999999</v>
      </c>
      <c r="AM25" s="41">
        <f t="shared" si="61"/>
        <v>0</v>
      </c>
      <c r="AN25" s="41">
        <f t="shared" si="62"/>
        <v>2.5409999999999999</v>
      </c>
      <c r="AO25" s="19" t="s">
        <v>33</v>
      </c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</row>
    <row r="26" spans="1:69" ht="28.5" customHeight="1" x14ac:dyDescent="0.25">
      <c r="A26" s="31" t="s">
        <v>119</v>
      </c>
      <c r="B26" s="32" t="s">
        <v>121</v>
      </c>
      <c r="C26" s="29" t="s">
        <v>122</v>
      </c>
      <c r="D26" s="29" t="s">
        <v>33</v>
      </c>
      <c r="E26" s="29">
        <v>2023</v>
      </c>
      <c r="F26" s="29">
        <v>2023</v>
      </c>
      <c r="G26" s="29">
        <v>2023</v>
      </c>
      <c r="H26" s="42">
        <v>0</v>
      </c>
      <c r="I26" s="42">
        <f>P26</f>
        <v>2.5409999999999999</v>
      </c>
      <c r="J26" s="29" t="s">
        <v>33</v>
      </c>
      <c r="K26" s="42">
        <f>SUM(L26:O26)</f>
        <v>0</v>
      </c>
      <c r="L26" s="42">
        <v>0</v>
      </c>
      <c r="M26" s="42">
        <v>0</v>
      </c>
      <c r="N26" s="42">
        <v>0</v>
      </c>
      <c r="O26" s="42">
        <v>0</v>
      </c>
      <c r="P26" s="42">
        <f>Z26+AD26+AF26+AH26+AJ26</f>
        <v>2.5409999999999999</v>
      </c>
      <c r="Q26" s="42">
        <v>0</v>
      </c>
      <c r="R26" s="42">
        <f>P26</f>
        <v>2.5409999999999999</v>
      </c>
      <c r="S26" s="42">
        <v>0</v>
      </c>
      <c r="T26" s="42">
        <v>0</v>
      </c>
      <c r="U26" s="45" t="s">
        <v>33</v>
      </c>
      <c r="V26" s="45" t="s">
        <v>33</v>
      </c>
      <c r="W26" s="45" t="s">
        <v>33</v>
      </c>
      <c r="X26" s="42">
        <f>AK26</f>
        <v>0</v>
      </c>
      <c r="Y26" s="45" t="s">
        <v>33</v>
      </c>
      <c r="Z26" s="42">
        <f>AL26</f>
        <v>2.5409999999999999</v>
      </c>
      <c r="AA26" s="45" t="s">
        <v>33</v>
      </c>
      <c r="AB26" s="45" t="s">
        <v>33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2">
        <v>0</v>
      </c>
      <c r="AI26" s="42">
        <v>0</v>
      </c>
      <c r="AJ26" s="42">
        <v>0</v>
      </c>
      <c r="AK26" s="42">
        <v>0</v>
      </c>
      <c r="AL26" s="42">
        <f>ROUND(3.0492/1.2,3)</f>
        <v>2.5409999999999999</v>
      </c>
      <c r="AM26" s="42">
        <f>AD26+AF26+AH26+AJ26+AK26</f>
        <v>0</v>
      </c>
      <c r="AN26" s="42">
        <f t="shared" ref="AN26" si="64">AD26+AF26+AH26+AJ26+AL26</f>
        <v>2.5409999999999999</v>
      </c>
      <c r="AO26" s="21" t="s">
        <v>58</v>
      </c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</row>
    <row r="27" spans="1:69" ht="47.25" x14ac:dyDescent="0.25">
      <c r="A27" s="20" t="s">
        <v>73</v>
      </c>
      <c r="B27" s="28" t="s">
        <v>74</v>
      </c>
      <c r="C27" s="29" t="s">
        <v>33</v>
      </c>
      <c r="D27" s="29" t="s">
        <v>33</v>
      </c>
      <c r="E27" s="29" t="s">
        <v>33</v>
      </c>
      <c r="F27" s="29" t="s">
        <v>33</v>
      </c>
      <c r="G27" s="29" t="s">
        <v>33</v>
      </c>
      <c r="H27" s="41">
        <f>H28</f>
        <v>21.476700000000001</v>
      </c>
      <c r="I27" s="41">
        <f>I28</f>
        <v>23.519999999999996</v>
      </c>
      <c r="J27" s="30" t="s">
        <v>33</v>
      </c>
      <c r="K27" s="41">
        <f t="shared" ref="K27:T27" si="65">K28</f>
        <v>21.476700000000001</v>
      </c>
      <c r="L27" s="41">
        <f t="shared" si="65"/>
        <v>0</v>
      </c>
      <c r="M27" s="41">
        <f t="shared" si="65"/>
        <v>21.476700000000001</v>
      </c>
      <c r="N27" s="41">
        <f t="shared" si="65"/>
        <v>0</v>
      </c>
      <c r="O27" s="41">
        <f t="shared" si="65"/>
        <v>0</v>
      </c>
      <c r="P27" s="41">
        <f t="shared" si="65"/>
        <v>23.519999999999996</v>
      </c>
      <c r="Q27" s="41">
        <f t="shared" si="65"/>
        <v>0</v>
      </c>
      <c r="R27" s="41">
        <f t="shared" si="65"/>
        <v>23.519999999999996</v>
      </c>
      <c r="S27" s="41">
        <f t="shared" si="65"/>
        <v>0</v>
      </c>
      <c r="T27" s="41">
        <f t="shared" si="65"/>
        <v>0</v>
      </c>
      <c r="U27" s="19" t="s">
        <v>33</v>
      </c>
      <c r="V27" s="19" t="s">
        <v>33</v>
      </c>
      <c r="W27" s="19" t="s">
        <v>33</v>
      </c>
      <c r="X27" s="41">
        <f t="shared" ref="X27" si="66">X28</f>
        <v>14.324999999999999</v>
      </c>
      <c r="Y27" s="19" t="s">
        <v>33</v>
      </c>
      <c r="Z27" s="41">
        <f t="shared" ref="Z27" si="67">Z28</f>
        <v>16.390999999999998</v>
      </c>
      <c r="AA27" s="19" t="s">
        <v>33</v>
      </c>
      <c r="AB27" s="19" t="s">
        <v>33</v>
      </c>
      <c r="AC27" s="41">
        <f t="shared" ref="AC27:AN27" si="68">AC28</f>
        <v>0</v>
      </c>
      <c r="AD27" s="41">
        <f t="shared" si="68"/>
        <v>0</v>
      </c>
      <c r="AE27" s="41">
        <f t="shared" si="68"/>
        <v>0</v>
      </c>
      <c r="AF27" s="41">
        <f t="shared" si="68"/>
        <v>0</v>
      </c>
      <c r="AG27" s="41">
        <f t="shared" si="68"/>
        <v>0</v>
      </c>
      <c r="AH27" s="41">
        <f t="shared" si="68"/>
        <v>0</v>
      </c>
      <c r="AI27" s="41">
        <f t="shared" si="68"/>
        <v>7.1520999999999999</v>
      </c>
      <c r="AJ27" s="41">
        <f t="shared" si="68"/>
        <v>7.1289999999999996</v>
      </c>
      <c r="AK27" s="41">
        <f t="shared" si="68"/>
        <v>14.324999999999999</v>
      </c>
      <c r="AL27" s="41">
        <f t="shared" si="68"/>
        <v>16.390999999999998</v>
      </c>
      <c r="AM27" s="41">
        <f t="shared" si="68"/>
        <v>21.454000000000001</v>
      </c>
      <c r="AN27" s="41">
        <f t="shared" si="68"/>
        <v>23.519999999999996</v>
      </c>
      <c r="AO27" s="19" t="s">
        <v>33</v>
      </c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</row>
    <row r="28" spans="1:69" ht="31.5" x14ac:dyDescent="0.25">
      <c r="A28" s="20" t="s">
        <v>75</v>
      </c>
      <c r="B28" s="28" t="s">
        <v>76</v>
      </c>
      <c r="C28" s="29" t="s">
        <v>33</v>
      </c>
      <c r="D28" s="29" t="s">
        <v>33</v>
      </c>
      <c r="E28" s="29" t="s">
        <v>33</v>
      </c>
      <c r="F28" s="29" t="s">
        <v>33</v>
      </c>
      <c r="G28" s="29" t="s">
        <v>33</v>
      </c>
      <c r="H28" s="41">
        <f>SUM(H29:H30)</f>
        <v>21.476700000000001</v>
      </c>
      <c r="I28" s="41">
        <f>SUM(I29:I30)</f>
        <v>23.519999999999996</v>
      </c>
      <c r="J28" s="30" t="s">
        <v>33</v>
      </c>
      <c r="K28" s="41">
        <f>SUM(K29:K30)</f>
        <v>21.476700000000001</v>
      </c>
      <c r="L28" s="41">
        <f t="shared" ref="L28:O28" si="69">SUM(L29:L30)</f>
        <v>0</v>
      </c>
      <c r="M28" s="41">
        <f t="shared" si="69"/>
        <v>21.476700000000001</v>
      </c>
      <c r="N28" s="41">
        <f t="shared" si="69"/>
        <v>0</v>
      </c>
      <c r="O28" s="41">
        <f t="shared" si="69"/>
        <v>0</v>
      </c>
      <c r="P28" s="41">
        <f t="shared" ref="P28" si="70">SUM(P29:P30)</f>
        <v>23.519999999999996</v>
      </c>
      <c r="Q28" s="41">
        <f t="shared" ref="Q28" si="71">SUM(Q29:Q30)</f>
        <v>0</v>
      </c>
      <c r="R28" s="41">
        <f t="shared" ref="R28" si="72">SUM(R29:R30)</f>
        <v>23.519999999999996</v>
      </c>
      <c r="S28" s="41">
        <f t="shared" ref="S28" si="73">SUM(S29:S30)</f>
        <v>0</v>
      </c>
      <c r="T28" s="41">
        <f t="shared" ref="T28" si="74">SUM(T29:T30)</f>
        <v>0</v>
      </c>
      <c r="U28" s="19" t="s">
        <v>33</v>
      </c>
      <c r="V28" s="19" t="s">
        <v>33</v>
      </c>
      <c r="W28" s="19" t="s">
        <v>33</v>
      </c>
      <c r="X28" s="41">
        <f t="shared" ref="X28:Z28" si="75">SUM(X29:X30)</f>
        <v>14.324999999999999</v>
      </c>
      <c r="Y28" s="19" t="s">
        <v>33</v>
      </c>
      <c r="Z28" s="41">
        <f t="shared" si="75"/>
        <v>16.390999999999998</v>
      </c>
      <c r="AA28" s="19" t="s">
        <v>33</v>
      </c>
      <c r="AB28" s="19" t="s">
        <v>33</v>
      </c>
      <c r="AC28" s="41">
        <f t="shared" ref="AC28" si="76">SUM(AC29:AC30)</f>
        <v>0</v>
      </c>
      <c r="AD28" s="41">
        <f t="shared" ref="AD28" si="77">SUM(AD29:AD30)</f>
        <v>0</v>
      </c>
      <c r="AE28" s="41">
        <f t="shared" ref="AE28" si="78">SUM(AE29:AE30)</f>
        <v>0</v>
      </c>
      <c r="AF28" s="41">
        <f t="shared" ref="AF28" si="79">SUM(AF29:AF30)</f>
        <v>0</v>
      </c>
      <c r="AG28" s="41">
        <f t="shared" ref="AG28" si="80">SUM(AG29:AG30)</f>
        <v>0</v>
      </c>
      <c r="AH28" s="41">
        <f t="shared" ref="AH28" si="81">SUM(AH29:AH30)</f>
        <v>0</v>
      </c>
      <c r="AI28" s="41">
        <f t="shared" ref="AI28" si="82">SUM(AI29:AI30)</f>
        <v>7.1520999999999999</v>
      </c>
      <c r="AJ28" s="41">
        <f t="shared" ref="AJ28" si="83">SUM(AJ29:AJ30)</f>
        <v>7.1289999999999996</v>
      </c>
      <c r="AK28" s="41">
        <f t="shared" ref="AK28" si="84">SUM(AK29:AK30)</f>
        <v>14.324999999999999</v>
      </c>
      <c r="AL28" s="41">
        <f t="shared" ref="AL28" si="85">SUM(AL29:AL30)</f>
        <v>16.390999999999998</v>
      </c>
      <c r="AM28" s="41">
        <f t="shared" ref="AM28" si="86">SUM(AM29:AM30)</f>
        <v>21.454000000000001</v>
      </c>
      <c r="AN28" s="41">
        <f t="shared" ref="AN28" si="87">SUM(AN29:AN30)</f>
        <v>23.519999999999996</v>
      </c>
      <c r="AO28" s="19" t="s">
        <v>33</v>
      </c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</row>
    <row r="29" spans="1:69" ht="54.75" customHeight="1" x14ac:dyDescent="0.25">
      <c r="A29" s="31" t="s">
        <v>75</v>
      </c>
      <c r="B29" s="32" t="s">
        <v>77</v>
      </c>
      <c r="C29" s="29" t="s">
        <v>78</v>
      </c>
      <c r="D29" s="29" t="s">
        <v>33</v>
      </c>
      <c r="E29" s="29">
        <v>2022</v>
      </c>
      <c r="F29" s="29">
        <v>2023</v>
      </c>
      <c r="G29" s="29">
        <v>2023</v>
      </c>
      <c r="H29" s="42">
        <f>ROUND(18.721/1.2,3)-0.0003</f>
        <v>15.600700000000002</v>
      </c>
      <c r="I29" s="42">
        <f>P29</f>
        <v>13.079999999999998</v>
      </c>
      <c r="J29" s="29" t="s">
        <v>33</v>
      </c>
      <c r="K29" s="42">
        <f>SUM(L29:O29)</f>
        <v>15.600700000000002</v>
      </c>
      <c r="L29" s="42">
        <v>0</v>
      </c>
      <c r="M29" s="42">
        <f>ROUND(18.721/1.2,3)-0.0003</f>
        <v>15.600700000000002</v>
      </c>
      <c r="N29" s="42">
        <v>0</v>
      </c>
      <c r="O29" s="42">
        <v>0</v>
      </c>
      <c r="P29" s="42">
        <f>Z29+AD29+AF29+AH29+AJ29</f>
        <v>13.079999999999998</v>
      </c>
      <c r="Q29" s="42">
        <v>0</v>
      </c>
      <c r="R29" s="42">
        <f>P29</f>
        <v>13.079999999999998</v>
      </c>
      <c r="S29" s="42">
        <v>0</v>
      </c>
      <c r="T29" s="42">
        <v>0</v>
      </c>
      <c r="U29" s="24" t="s">
        <v>33</v>
      </c>
      <c r="V29" s="24" t="s">
        <v>33</v>
      </c>
      <c r="W29" s="24" t="s">
        <v>33</v>
      </c>
      <c r="X29" s="42">
        <f>AK29</f>
        <v>8.4489999999999998</v>
      </c>
      <c r="Y29" s="24" t="s">
        <v>33</v>
      </c>
      <c r="Z29" s="42">
        <f>AL29</f>
        <v>5.9509999999999996</v>
      </c>
      <c r="AA29" s="24" t="s">
        <v>33</v>
      </c>
      <c r="AB29" s="24" t="s">
        <v>33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f>ROUND(8.5828/1.2,3)+0.0001</f>
        <v>7.1520999999999999</v>
      </c>
      <c r="AJ29" s="42">
        <f>ROUND((925552.8+1737600+5891794.3)/1000000/1.2,3)</f>
        <v>7.1289999999999996</v>
      </c>
      <c r="AK29" s="42">
        <f>ROUND(10.1383/1.2,3)</f>
        <v>8.4489999999999998</v>
      </c>
      <c r="AL29" s="42">
        <f>ROUND(7.14171/1.2,3)</f>
        <v>5.9509999999999996</v>
      </c>
      <c r="AM29" s="42">
        <f>AD29+AF29+AH29+AJ29+AK29</f>
        <v>15.577999999999999</v>
      </c>
      <c r="AN29" s="42">
        <f t="shared" ref="AN29:AN30" si="88">AD29+AF29+AH29+AJ29+AL29</f>
        <v>13.079999999999998</v>
      </c>
      <c r="AO29" s="22" t="s">
        <v>123</v>
      </c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</row>
    <row r="30" spans="1:69" ht="37.5" customHeight="1" x14ac:dyDescent="0.25">
      <c r="A30" s="31" t="s">
        <v>75</v>
      </c>
      <c r="B30" s="32" t="s">
        <v>105</v>
      </c>
      <c r="C30" s="29" t="s">
        <v>106</v>
      </c>
      <c r="D30" s="29" t="s">
        <v>33</v>
      </c>
      <c r="E30" s="29">
        <v>2023</v>
      </c>
      <c r="F30" s="29">
        <v>2023</v>
      </c>
      <c r="G30" s="29">
        <v>2023</v>
      </c>
      <c r="H30" s="42">
        <f>ROUND(7.0507/1.2,3)</f>
        <v>5.8760000000000003</v>
      </c>
      <c r="I30" s="42">
        <f>P30</f>
        <v>10.44</v>
      </c>
      <c r="J30" s="29" t="s">
        <v>33</v>
      </c>
      <c r="K30" s="42">
        <f>SUM(L30:O30)</f>
        <v>5.8760000000000003</v>
      </c>
      <c r="L30" s="42">
        <v>0</v>
      </c>
      <c r="M30" s="42">
        <f>ROUND(7.0507/1.2,3)</f>
        <v>5.8760000000000003</v>
      </c>
      <c r="N30" s="42">
        <v>0</v>
      </c>
      <c r="O30" s="42">
        <v>0</v>
      </c>
      <c r="P30" s="42">
        <f>Z30+AD30+AF30+AH30+AJ30</f>
        <v>10.44</v>
      </c>
      <c r="Q30" s="42">
        <v>0</v>
      </c>
      <c r="R30" s="42">
        <f>P30</f>
        <v>10.44</v>
      </c>
      <c r="S30" s="42">
        <v>0</v>
      </c>
      <c r="T30" s="42">
        <v>0</v>
      </c>
      <c r="U30" s="37" t="s">
        <v>33</v>
      </c>
      <c r="V30" s="37" t="s">
        <v>33</v>
      </c>
      <c r="W30" s="37" t="s">
        <v>33</v>
      </c>
      <c r="X30" s="42">
        <f>AK30</f>
        <v>5.8760000000000003</v>
      </c>
      <c r="Y30" s="37" t="s">
        <v>33</v>
      </c>
      <c r="Z30" s="42">
        <f>AL30</f>
        <v>10.44</v>
      </c>
      <c r="AA30" s="37" t="s">
        <v>33</v>
      </c>
      <c r="AB30" s="37" t="s">
        <v>33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f>ROUND(7.0507/1.2,3)</f>
        <v>5.8760000000000003</v>
      </c>
      <c r="AL30" s="42">
        <f>ROUND(12.528/1.2,3)</f>
        <v>10.44</v>
      </c>
      <c r="AM30" s="42">
        <f>AD30+AF30+AH30+AJ30+AK30</f>
        <v>5.8760000000000003</v>
      </c>
      <c r="AN30" s="42">
        <f t="shared" si="88"/>
        <v>10.44</v>
      </c>
      <c r="AO30" s="22" t="s">
        <v>124</v>
      </c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</row>
    <row r="31" spans="1:69" ht="31.5" x14ac:dyDescent="0.25">
      <c r="A31" s="20" t="s">
        <v>79</v>
      </c>
      <c r="B31" s="28" t="s">
        <v>80</v>
      </c>
      <c r="C31" s="29" t="s">
        <v>33</v>
      </c>
      <c r="D31" s="29" t="s">
        <v>33</v>
      </c>
      <c r="E31" s="29" t="s">
        <v>33</v>
      </c>
      <c r="F31" s="29" t="s">
        <v>33</v>
      </c>
      <c r="G31" s="29" t="s">
        <v>33</v>
      </c>
      <c r="H31" s="41">
        <f>H32+H34+H36</f>
        <v>7.3384</v>
      </c>
      <c r="I31" s="41">
        <f>I32+I34+I36</f>
        <v>8.1969999999999992</v>
      </c>
      <c r="J31" s="30" t="s">
        <v>33</v>
      </c>
      <c r="K31" s="41">
        <f t="shared" ref="K31:T31" si="89">K32+K34+K36</f>
        <v>7.3384</v>
      </c>
      <c r="L31" s="41">
        <f t="shared" si="89"/>
        <v>0</v>
      </c>
      <c r="M31" s="41">
        <f t="shared" si="89"/>
        <v>7.3384</v>
      </c>
      <c r="N31" s="41">
        <f t="shared" si="89"/>
        <v>0</v>
      </c>
      <c r="O31" s="41">
        <f t="shared" si="89"/>
        <v>0</v>
      </c>
      <c r="P31" s="41">
        <f t="shared" si="89"/>
        <v>8.1969999999999992</v>
      </c>
      <c r="Q31" s="41">
        <f t="shared" si="89"/>
        <v>0</v>
      </c>
      <c r="R31" s="41">
        <f t="shared" si="89"/>
        <v>8.1969999999999992</v>
      </c>
      <c r="S31" s="41">
        <f t="shared" si="89"/>
        <v>0</v>
      </c>
      <c r="T31" s="41">
        <f t="shared" si="89"/>
        <v>0</v>
      </c>
      <c r="U31" s="19" t="s">
        <v>33</v>
      </c>
      <c r="V31" s="19" t="s">
        <v>33</v>
      </c>
      <c r="W31" s="19" t="s">
        <v>33</v>
      </c>
      <c r="X31" s="41">
        <f t="shared" ref="X31" si="90">X32+X34+X36</f>
        <v>0</v>
      </c>
      <c r="Y31" s="19" t="s">
        <v>33</v>
      </c>
      <c r="Z31" s="41">
        <f t="shared" ref="Z31" si="91">Z32+Z34+Z36</f>
        <v>0.998</v>
      </c>
      <c r="AA31" s="19" t="s">
        <v>33</v>
      </c>
      <c r="AB31" s="19" t="s">
        <v>33</v>
      </c>
      <c r="AC31" s="41">
        <f t="shared" ref="AC31" si="92">AC32+AC34+AC36</f>
        <v>0</v>
      </c>
      <c r="AD31" s="41">
        <f t="shared" ref="AD31" si="93">AD32+AD34+AD36</f>
        <v>0</v>
      </c>
      <c r="AE31" s="41">
        <f t="shared" ref="AE31" si="94">AE32+AE34+AE36</f>
        <v>0</v>
      </c>
      <c r="AF31" s="41">
        <f t="shared" ref="AF31" si="95">AF32+AF34+AF36</f>
        <v>0</v>
      </c>
      <c r="AG31" s="41">
        <f t="shared" ref="AG31" si="96">AG32+AG34+AG36</f>
        <v>0</v>
      </c>
      <c r="AH31" s="41">
        <f t="shared" ref="AH31" si="97">AH32+AH34+AH36</f>
        <v>0</v>
      </c>
      <c r="AI31" s="41">
        <f t="shared" ref="AI31" si="98">AI32+AI34+AI36</f>
        <v>7.3384</v>
      </c>
      <c r="AJ31" s="41">
        <f t="shared" ref="AJ31" si="99">AJ32+AJ34+AJ36</f>
        <v>7.1989999999999998</v>
      </c>
      <c r="AK31" s="41">
        <f t="shared" ref="AK31" si="100">AK32+AK34+AK36</f>
        <v>0</v>
      </c>
      <c r="AL31" s="41">
        <f t="shared" ref="AL31" si="101">AL32+AL34+AL36</f>
        <v>0.998</v>
      </c>
      <c r="AM31" s="41">
        <f t="shared" ref="AM31" si="102">AM32+AM34+AM36</f>
        <v>7.1989999999999998</v>
      </c>
      <c r="AN31" s="41">
        <f t="shared" ref="AN31" si="103">AN32+AN34+AN36</f>
        <v>8.1969999999999992</v>
      </c>
      <c r="AO31" s="19" t="s">
        <v>33</v>
      </c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</row>
    <row r="32" spans="1:69" ht="31.5" x14ac:dyDescent="0.25">
      <c r="A32" s="20" t="s">
        <v>81</v>
      </c>
      <c r="B32" s="28" t="s">
        <v>82</v>
      </c>
      <c r="C32" s="29" t="s">
        <v>33</v>
      </c>
      <c r="D32" s="29" t="s">
        <v>33</v>
      </c>
      <c r="E32" s="29" t="s">
        <v>33</v>
      </c>
      <c r="F32" s="29" t="s">
        <v>33</v>
      </c>
      <c r="G32" s="29" t="s">
        <v>33</v>
      </c>
      <c r="H32" s="41">
        <f>SUM(H33)</f>
        <v>6.1513999999999998</v>
      </c>
      <c r="I32" s="41">
        <f>SUM(I33)</f>
        <v>6.0119999999999996</v>
      </c>
      <c r="J32" s="30" t="s">
        <v>33</v>
      </c>
      <c r="K32" s="41">
        <f t="shared" ref="K32:T34" si="104">SUM(K33)</f>
        <v>6.1513999999999998</v>
      </c>
      <c r="L32" s="41">
        <f t="shared" si="104"/>
        <v>0</v>
      </c>
      <c r="M32" s="41">
        <f t="shared" si="104"/>
        <v>6.1513999999999998</v>
      </c>
      <c r="N32" s="41">
        <f t="shared" si="104"/>
        <v>0</v>
      </c>
      <c r="O32" s="41">
        <f t="shared" si="104"/>
        <v>0</v>
      </c>
      <c r="P32" s="41">
        <f t="shared" si="104"/>
        <v>6.0119999999999996</v>
      </c>
      <c r="Q32" s="41">
        <f t="shared" si="104"/>
        <v>0</v>
      </c>
      <c r="R32" s="41">
        <f t="shared" si="104"/>
        <v>6.0119999999999996</v>
      </c>
      <c r="S32" s="41">
        <f t="shared" si="104"/>
        <v>0</v>
      </c>
      <c r="T32" s="41">
        <f t="shared" si="104"/>
        <v>0</v>
      </c>
      <c r="U32" s="19" t="s">
        <v>33</v>
      </c>
      <c r="V32" s="19" t="s">
        <v>33</v>
      </c>
      <c r="W32" s="19" t="s">
        <v>33</v>
      </c>
      <c r="X32" s="41">
        <f t="shared" ref="X32:Z34" si="105">SUM(X33)</f>
        <v>0</v>
      </c>
      <c r="Y32" s="19" t="s">
        <v>33</v>
      </c>
      <c r="Z32" s="41">
        <f t="shared" si="105"/>
        <v>0</v>
      </c>
      <c r="AA32" s="19" t="s">
        <v>33</v>
      </c>
      <c r="AB32" s="19" t="s">
        <v>33</v>
      </c>
      <c r="AC32" s="41">
        <f t="shared" ref="AC32:AN34" si="106">SUM(AC33)</f>
        <v>0</v>
      </c>
      <c r="AD32" s="41">
        <f t="shared" si="106"/>
        <v>0</v>
      </c>
      <c r="AE32" s="41">
        <f t="shared" si="106"/>
        <v>0</v>
      </c>
      <c r="AF32" s="41">
        <f t="shared" si="106"/>
        <v>0</v>
      </c>
      <c r="AG32" s="41">
        <f t="shared" si="106"/>
        <v>0</v>
      </c>
      <c r="AH32" s="41">
        <f t="shared" si="106"/>
        <v>0</v>
      </c>
      <c r="AI32" s="41">
        <f t="shared" si="106"/>
        <v>6.1513999999999998</v>
      </c>
      <c r="AJ32" s="41">
        <f t="shared" si="106"/>
        <v>6.0119999999999996</v>
      </c>
      <c r="AK32" s="41">
        <f t="shared" si="106"/>
        <v>0</v>
      </c>
      <c r="AL32" s="41">
        <f t="shared" si="106"/>
        <v>0</v>
      </c>
      <c r="AM32" s="41">
        <f t="shared" si="106"/>
        <v>6.0119999999999996</v>
      </c>
      <c r="AN32" s="41">
        <f t="shared" si="106"/>
        <v>6.0119999999999996</v>
      </c>
      <c r="AO32" s="19" t="s">
        <v>33</v>
      </c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</row>
    <row r="33" spans="1:69" ht="23.25" customHeight="1" x14ac:dyDescent="0.25">
      <c r="A33" s="31" t="s">
        <v>81</v>
      </c>
      <c r="B33" s="32" t="s">
        <v>83</v>
      </c>
      <c r="C33" s="29" t="s">
        <v>84</v>
      </c>
      <c r="D33" s="29" t="s">
        <v>60</v>
      </c>
      <c r="E33" s="29">
        <v>2022</v>
      </c>
      <c r="F33" s="29">
        <v>2022</v>
      </c>
      <c r="G33" s="29">
        <v>2022</v>
      </c>
      <c r="H33" s="42">
        <f>ROUND(7.3819/1.2,3)-0.0006</f>
        <v>6.1513999999999998</v>
      </c>
      <c r="I33" s="42">
        <f>P33</f>
        <v>6.0119999999999996</v>
      </c>
      <c r="J33" s="29" t="s">
        <v>33</v>
      </c>
      <c r="K33" s="42">
        <f>SUM(L33:O33)</f>
        <v>6.1513999999999998</v>
      </c>
      <c r="L33" s="42">
        <v>0</v>
      </c>
      <c r="M33" s="42">
        <f>ROUND(7.3819/1.2,3)-0.0006</f>
        <v>6.1513999999999998</v>
      </c>
      <c r="N33" s="42">
        <v>0</v>
      </c>
      <c r="O33" s="42">
        <v>0</v>
      </c>
      <c r="P33" s="42">
        <f>Z33+AD33+AF33+AH33+AJ33</f>
        <v>6.0119999999999996</v>
      </c>
      <c r="Q33" s="42">
        <v>0</v>
      </c>
      <c r="R33" s="42">
        <f>P33</f>
        <v>6.0119999999999996</v>
      </c>
      <c r="S33" s="42">
        <v>0</v>
      </c>
      <c r="T33" s="42">
        <v>0</v>
      </c>
      <c r="U33" s="24" t="s">
        <v>33</v>
      </c>
      <c r="V33" s="24" t="s">
        <v>33</v>
      </c>
      <c r="W33" s="24" t="s">
        <v>33</v>
      </c>
      <c r="X33" s="42">
        <f>AK33</f>
        <v>0</v>
      </c>
      <c r="Y33" s="24" t="s">
        <v>33</v>
      </c>
      <c r="Z33" s="42">
        <f>AL33</f>
        <v>0</v>
      </c>
      <c r="AA33" s="24" t="s">
        <v>33</v>
      </c>
      <c r="AB33" s="24" t="s">
        <v>33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f>ROUND(7.3819/1.2,3)-0.0006</f>
        <v>6.1513999999999998</v>
      </c>
      <c r="AJ33" s="42">
        <f>ROUND((4352400+2642400+219600)/1000000/1.2,3)</f>
        <v>6.0119999999999996</v>
      </c>
      <c r="AK33" s="42">
        <v>0</v>
      </c>
      <c r="AL33" s="42">
        <v>0</v>
      </c>
      <c r="AM33" s="42">
        <f>AD33+AF33+AH33+AJ33+AK33</f>
        <v>6.0119999999999996</v>
      </c>
      <c r="AN33" s="42">
        <f t="shared" ref="AN33" si="107">AD33+AF33+AH33+AJ33+AL33</f>
        <v>6.0119999999999996</v>
      </c>
      <c r="AO33" s="38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</row>
    <row r="34" spans="1:69" ht="36" customHeight="1" x14ac:dyDescent="0.25">
      <c r="A34" s="20" t="s">
        <v>115</v>
      </c>
      <c r="B34" s="28" t="s">
        <v>116</v>
      </c>
      <c r="C34" s="29" t="s">
        <v>33</v>
      </c>
      <c r="D34" s="29" t="s">
        <v>33</v>
      </c>
      <c r="E34" s="29" t="s">
        <v>33</v>
      </c>
      <c r="F34" s="29" t="s">
        <v>33</v>
      </c>
      <c r="G34" s="29" t="s">
        <v>33</v>
      </c>
      <c r="H34" s="41">
        <f>SUM(H35)</f>
        <v>0</v>
      </c>
      <c r="I34" s="41">
        <f>SUM(I35)</f>
        <v>0.998</v>
      </c>
      <c r="J34" s="30" t="s">
        <v>33</v>
      </c>
      <c r="K34" s="41">
        <f t="shared" si="104"/>
        <v>0</v>
      </c>
      <c r="L34" s="41">
        <f t="shared" si="104"/>
        <v>0</v>
      </c>
      <c r="M34" s="41">
        <f t="shared" si="104"/>
        <v>0</v>
      </c>
      <c r="N34" s="41">
        <f t="shared" si="104"/>
        <v>0</v>
      </c>
      <c r="O34" s="41">
        <f t="shared" si="104"/>
        <v>0</v>
      </c>
      <c r="P34" s="41">
        <f t="shared" si="104"/>
        <v>0.998</v>
      </c>
      <c r="Q34" s="41">
        <f t="shared" si="104"/>
        <v>0</v>
      </c>
      <c r="R34" s="41">
        <f t="shared" si="104"/>
        <v>0.998</v>
      </c>
      <c r="S34" s="41">
        <f t="shared" si="104"/>
        <v>0</v>
      </c>
      <c r="T34" s="41">
        <f t="shared" si="104"/>
        <v>0</v>
      </c>
      <c r="U34" s="19" t="s">
        <v>33</v>
      </c>
      <c r="V34" s="19" t="s">
        <v>33</v>
      </c>
      <c r="W34" s="19" t="s">
        <v>33</v>
      </c>
      <c r="X34" s="41">
        <f t="shared" si="105"/>
        <v>0</v>
      </c>
      <c r="Y34" s="19" t="s">
        <v>33</v>
      </c>
      <c r="Z34" s="41">
        <f t="shared" si="105"/>
        <v>0.998</v>
      </c>
      <c r="AA34" s="19" t="s">
        <v>33</v>
      </c>
      <c r="AB34" s="19" t="s">
        <v>33</v>
      </c>
      <c r="AC34" s="41">
        <f t="shared" si="106"/>
        <v>0</v>
      </c>
      <c r="AD34" s="41">
        <f t="shared" si="106"/>
        <v>0</v>
      </c>
      <c r="AE34" s="41">
        <f t="shared" si="106"/>
        <v>0</v>
      </c>
      <c r="AF34" s="41">
        <f t="shared" si="106"/>
        <v>0</v>
      </c>
      <c r="AG34" s="41">
        <f t="shared" si="106"/>
        <v>0</v>
      </c>
      <c r="AH34" s="41">
        <f t="shared" si="106"/>
        <v>0</v>
      </c>
      <c r="AI34" s="41">
        <f t="shared" si="106"/>
        <v>0</v>
      </c>
      <c r="AJ34" s="41">
        <f t="shared" si="106"/>
        <v>0</v>
      </c>
      <c r="AK34" s="41">
        <f t="shared" si="106"/>
        <v>0</v>
      </c>
      <c r="AL34" s="41">
        <f t="shared" si="106"/>
        <v>0.998</v>
      </c>
      <c r="AM34" s="41">
        <f t="shared" si="106"/>
        <v>0</v>
      </c>
      <c r="AN34" s="41">
        <f t="shared" si="106"/>
        <v>0.998</v>
      </c>
      <c r="AO34" s="19" t="s">
        <v>33</v>
      </c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</row>
    <row r="35" spans="1:69" ht="50.25" customHeight="1" x14ac:dyDescent="0.25">
      <c r="A35" s="31" t="s">
        <v>115</v>
      </c>
      <c r="B35" s="32" t="s">
        <v>117</v>
      </c>
      <c r="C35" s="29" t="s">
        <v>118</v>
      </c>
      <c r="D35" s="29" t="s">
        <v>33</v>
      </c>
      <c r="E35" s="29">
        <v>2023</v>
      </c>
      <c r="F35" s="29">
        <v>2023</v>
      </c>
      <c r="G35" s="29">
        <v>2023</v>
      </c>
      <c r="H35" s="42">
        <v>0</v>
      </c>
      <c r="I35" s="42">
        <f>P35</f>
        <v>0.998</v>
      </c>
      <c r="J35" s="29" t="s">
        <v>33</v>
      </c>
      <c r="K35" s="42">
        <f>SUM(L35:O35)</f>
        <v>0</v>
      </c>
      <c r="L35" s="42">
        <v>0</v>
      </c>
      <c r="M35" s="42">
        <v>0</v>
      </c>
      <c r="N35" s="42">
        <v>0</v>
      </c>
      <c r="O35" s="42">
        <v>0</v>
      </c>
      <c r="P35" s="42">
        <f>Z35+AD35+AF35+AH35+AJ35</f>
        <v>0.998</v>
      </c>
      <c r="Q35" s="42">
        <v>0</v>
      </c>
      <c r="R35" s="42">
        <f>P35</f>
        <v>0.998</v>
      </c>
      <c r="S35" s="42">
        <v>0</v>
      </c>
      <c r="T35" s="42">
        <v>0</v>
      </c>
      <c r="U35" s="44" t="s">
        <v>33</v>
      </c>
      <c r="V35" s="44" t="s">
        <v>33</v>
      </c>
      <c r="W35" s="44" t="s">
        <v>33</v>
      </c>
      <c r="X35" s="42">
        <f>AK35</f>
        <v>0</v>
      </c>
      <c r="Y35" s="44" t="s">
        <v>33</v>
      </c>
      <c r="Z35" s="42">
        <f>AL35</f>
        <v>0.998</v>
      </c>
      <c r="AA35" s="44" t="s">
        <v>33</v>
      </c>
      <c r="AB35" s="44" t="s">
        <v>33</v>
      </c>
      <c r="AC35" s="42">
        <v>0</v>
      </c>
      <c r="AD35" s="42">
        <v>0</v>
      </c>
      <c r="AE35" s="42">
        <v>0</v>
      </c>
      <c r="AF35" s="42">
        <v>0</v>
      </c>
      <c r="AG35" s="42">
        <v>0</v>
      </c>
      <c r="AH35" s="42">
        <v>0</v>
      </c>
      <c r="AI35" s="42">
        <v>0</v>
      </c>
      <c r="AJ35" s="42">
        <v>0</v>
      </c>
      <c r="AK35" s="42">
        <v>0</v>
      </c>
      <c r="AL35" s="42">
        <f>ROUND(1.197/1.2,3)</f>
        <v>0.998</v>
      </c>
      <c r="AM35" s="42">
        <f>AD35+AF35+AH35+AJ35+AK35</f>
        <v>0</v>
      </c>
      <c r="AN35" s="42">
        <f t="shared" ref="AN35" si="108">AD35+AF35+AH35+AJ35+AL35</f>
        <v>0.998</v>
      </c>
      <c r="AO35" s="21" t="s">
        <v>58</v>
      </c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</row>
    <row r="36" spans="1:69" ht="47.25" x14ac:dyDescent="0.25">
      <c r="A36" s="20" t="s">
        <v>85</v>
      </c>
      <c r="B36" s="28" t="s">
        <v>86</v>
      </c>
      <c r="C36" s="29" t="s">
        <v>33</v>
      </c>
      <c r="D36" s="29" t="s">
        <v>33</v>
      </c>
      <c r="E36" s="29" t="s">
        <v>33</v>
      </c>
      <c r="F36" s="29" t="s">
        <v>33</v>
      </c>
      <c r="G36" s="29" t="s">
        <v>33</v>
      </c>
      <c r="H36" s="41">
        <f>SUM(H37)</f>
        <v>1.1870000000000001</v>
      </c>
      <c r="I36" s="41">
        <f>SUM(I37)</f>
        <v>1.1870000000000001</v>
      </c>
      <c r="J36" s="30" t="s">
        <v>33</v>
      </c>
      <c r="K36" s="41">
        <f t="shared" ref="K36:T36" si="109">SUM(K37)</f>
        <v>1.1870000000000001</v>
      </c>
      <c r="L36" s="41">
        <f t="shared" si="109"/>
        <v>0</v>
      </c>
      <c r="M36" s="41">
        <f t="shared" si="109"/>
        <v>1.1870000000000001</v>
      </c>
      <c r="N36" s="41">
        <f t="shared" si="109"/>
        <v>0</v>
      </c>
      <c r="O36" s="41">
        <f t="shared" si="109"/>
        <v>0</v>
      </c>
      <c r="P36" s="41">
        <f t="shared" si="109"/>
        <v>1.1870000000000001</v>
      </c>
      <c r="Q36" s="41">
        <f t="shared" si="109"/>
        <v>0</v>
      </c>
      <c r="R36" s="41">
        <f t="shared" si="109"/>
        <v>1.1870000000000001</v>
      </c>
      <c r="S36" s="41">
        <f t="shared" si="109"/>
        <v>0</v>
      </c>
      <c r="T36" s="41">
        <f t="shared" si="109"/>
        <v>0</v>
      </c>
      <c r="U36" s="19" t="s">
        <v>33</v>
      </c>
      <c r="V36" s="19" t="s">
        <v>33</v>
      </c>
      <c r="W36" s="19" t="s">
        <v>33</v>
      </c>
      <c r="X36" s="41">
        <f t="shared" ref="X36:Z36" si="110">SUM(X37)</f>
        <v>0</v>
      </c>
      <c r="Y36" s="19" t="s">
        <v>33</v>
      </c>
      <c r="Z36" s="41">
        <f t="shared" si="110"/>
        <v>0</v>
      </c>
      <c r="AA36" s="19" t="s">
        <v>33</v>
      </c>
      <c r="AB36" s="19" t="s">
        <v>33</v>
      </c>
      <c r="AC36" s="41">
        <f t="shared" ref="AC36:AN36" si="111">SUM(AC37)</f>
        <v>0</v>
      </c>
      <c r="AD36" s="41">
        <f t="shared" si="111"/>
        <v>0</v>
      </c>
      <c r="AE36" s="41">
        <f t="shared" si="111"/>
        <v>0</v>
      </c>
      <c r="AF36" s="41">
        <f t="shared" si="111"/>
        <v>0</v>
      </c>
      <c r="AG36" s="41">
        <f t="shared" si="111"/>
        <v>0</v>
      </c>
      <c r="AH36" s="41">
        <f t="shared" si="111"/>
        <v>0</v>
      </c>
      <c r="AI36" s="41">
        <f t="shared" si="111"/>
        <v>1.1870000000000001</v>
      </c>
      <c r="AJ36" s="41">
        <f t="shared" si="111"/>
        <v>1.1870000000000001</v>
      </c>
      <c r="AK36" s="41">
        <f t="shared" si="111"/>
        <v>0</v>
      </c>
      <c r="AL36" s="41">
        <f t="shared" si="111"/>
        <v>0</v>
      </c>
      <c r="AM36" s="41">
        <f t="shared" si="111"/>
        <v>1.1870000000000001</v>
      </c>
      <c r="AN36" s="41">
        <f t="shared" si="111"/>
        <v>1.1870000000000001</v>
      </c>
      <c r="AO36" s="19" t="s">
        <v>33</v>
      </c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</row>
    <row r="37" spans="1:69" x14ac:dyDescent="0.25">
      <c r="A37" s="31" t="s">
        <v>85</v>
      </c>
      <c r="B37" s="32" t="s">
        <v>87</v>
      </c>
      <c r="C37" s="29" t="s">
        <v>88</v>
      </c>
      <c r="D37" s="29" t="s">
        <v>60</v>
      </c>
      <c r="E37" s="29">
        <v>2022</v>
      </c>
      <c r="F37" s="29">
        <v>2022</v>
      </c>
      <c r="G37" s="29">
        <v>2022</v>
      </c>
      <c r="H37" s="42">
        <f>ROUND(1.4246/1.2,3)</f>
        <v>1.1870000000000001</v>
      </c>
      <c r="I37" s="42">
        <f>P37</f>
        <v>1.1870000000000001</v>
      </c>
      <c r="J37" s="29" t="s">
        <v>33</v>
      </c>
      <c r="K37" s="42">
        <f>SUM(L37:O37)</f>
        <v>1.1870000000000001</v>
      </c>
      <c r="L37" s="42">
        <v>0</v>
      </c>
      <c r="M37" s="42">
        <f>ROUND(1.4246/1.2,3)</f>
        <v>1.1870000000000001</v>
      </c>
      <c r="N37" s="42">
        <v>0</v>
      </c>
      <c r="O37" s="42">
        <v>0</v>
      </c>
      <c r="P37" s="42">
        <f>Z37+AD37+AF37+AH37+AJ37</f>
        <v>1.1870000000000001</v>
      </c>
      <c r="Q37" s="42">
        <v>0</v>
      </c>
      <c r="R37" s="42">
        <f>P37</f>
        <v>1.1870000000000001</v>
      </c>
      <c r="S37" s="42">
        <v>0</v>
      </c>
      <c r="T37" s="42">
        <v>0</v>
      </c>
      <c r="U37" s="24" t="s">
        <v>33</v>
      </c>
      <c r="V37" s="24" t="s">
        <v>33</v>
      </c>
      <c r="W37" s="24" t="s">
        <v>33</v>
      </c>
      <c r="X37" s="42">
        <f>AK37</f>
        <v>0</v>
      </c>
      <c r="Y37" s="24" t="s">
        <v>33</v>
      </c>
      <c r="Z37" s="42">
        <f>AL37</f>
        <v>0</v>
      </c>
      <c r="AA37" s="24" t="s">
        <v>33</v>
      </c>
      <c r="AB37" s="24" t="s">
        <v>33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f>ROUND(1.4246/1.2,3)</f>
        <v>1.1870000000000001</v>
      </c>
      <c r="AJ37" s="42">
        <f>ROUND((1330089.6/1000000/1.2)+(78752/1000000),3)</f>
        <v>1.1870000000000001</v>
      </c>
      <c r="AK37" s="42">
        <v>0</v>
      </c>
      <c r="AL37" s="42">
        <v>0</v>
      </c>
      <c r="AM37" s="42">
        <f>AD37+AF37+AH37+AJ37+AK37</f>
        <v>1.1870000000000001</v>
      </c>
      <c r="AN37" s="42">
        <f t="shared" ref="AN37" si="112">AD37+AF37+AH37+AJ37+AL37</f>
        <v>1.1870000000000001</v>
      </c>
      <c r="AO37" s="38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</row>
    <row r="38" spans="1:69" ht="31.5" x14ac:dyDescent="0.25">
      <c r="A38" s="20" t="s">
        <v>89</v>
      </c>
      <c r="B38" s="28" t="s">
        <v>40</v>
      </c>
      <c r="C38" s="29" t="s">
        <v>33</v>
      </c>
      <c r="D38" s="29" t="s">
        <v>33</v>
      </c>
      <c r="E38" s="29" t="s">
        <v>33</v>
      </c>
      <c r="F38" s="29" t="s">
        <v>33</v>
      </c>
      <c r="G38" s="29" t="s">
        <v>33</v>
      </c>
      <c r="H38" s="41">
        <f>SUM(H39:H49)</f>
        <v>56.354305084745754</v>
      </c>
      <c r="I38" s="41">
        <f>SUM(I39:I49)</f>
        <v>54.962816666666654</v>
      </c>
      <c r="J38" s="30" t="s">
        <v>33</v>
      </c>
      <c r="K38" s="41">
        <f>SUM(K39:K49)</f>
        <v>56.354305084745754</v>
      </c>
      <c r="L38" s="41">
        <f t="shared" ref="L38:T38" si="113">SUM(L39:L49)</f>
        <v>0</v>
      </c>
      <c r="M38" s="41">
        <f t="shared" si="113"/>
        <v>0</v>
      </c>
      <c r="N38" s="41">
        <f t="shared" si="113"/>
        <v>41.271305084745755</v>
      </c>
      <c r="O38" s="41">
        <f t="shared" si="113"/>
        <v>15.082999999999998</v>
      </c>
      <c r="P38" s="41">
        <f t="shared" si="113"/>
        <v>54.962816666666654</v>
      </c>
      <c r="Q38" s="41">
        <f t="shared" si="113"/>
        <v>0</v>
      </c>
      <c r="R38" s="41">
        <f t="shared" si="113"/>
        <v>0</v>
      </c>
      <c r="S38" s="41">
        <f t="shared" si="113"/>
        <v>33.843816666666662</v>
      </c>
      <c r="T38" s="41">
        <f t="shared" si="113"/>
        <v>21.119</v>
      </c>
      <c r="U38" s="19" t="s">
        <v>33</v>
      </c>
      <c r="V38" s="19" t="s">
        <v>33</v>
      </c>
      <c r="W38" s="19" t="s">
        <v>33</v>
      </c>
      <c r="X38" s="41">
        <f t="shared" ref="X38:Z38" si="114">SUM(X39:X49)</f>
        <v>24.275399999999998</v>
      </c>
      <c r="Y38" s="19" t="s">
        <v>33</v>
      </c>
      <c r="Z38" s="41">
        <f t="shared" si="114"/>
        <v>23.234000000000002</v>
      </c>
      <c r="AA38" s="19" t="s">
        <v>33</v>
      </c>
      <c r="AB38" s="19" t="s">
        <v>33</v>
      </c>
      <c r="AC38" s="41">
        <f t="shared" ref="AC38:AH38" si="115">SUM(AC39:AC49)</f>
        <v>8.8533050847457631</v>
      </c>
      <c r="AD38" s="41">
        <f t="shared" si="115"/>
        <v>11.432833333333335</v>
      </c>
      <c r="AE38" s="41">
        <f t="shared" si="115"/>
        <v>9.6560000000000006</v>
      </c>
      <c r="AF38" s="41">
        <f t="shared" si="115"/>
        <v>6.7270833333333337</v>
      </c>
      <c r="AG38" s="41">
        <f t="shared" si="115"/>
        <v>10.4659</v>
      </c>
      <c r="AH38" s="41">
        <f t="shared" si="115"/>
        <v>10.4659</v>
      </c>
      <c r="AI38" s="41">
        <f t="shared" ref="AI38:AN38" si="116">SUM(AI39:AI49)</f>
        <v>3.1029999999999998</v>
      </c>
      <c r="AJ38" s="41">
        <f t="shared" si="116"/>
        <v>3.1029999999999998</v>
      </c>
      <c r="AK38" s="41">
        <f t="shared" si="116"/>
        <v>24.275399999999998</v>
      </c>
      <c r="AL38" s="41">
        <f t="shared" si="116"/>
        <v>23.234000000000002</v>
      </c>
      <c r="AM38" s="41">
        <f t="shared" si="116"/>
        <v>56.004216666666657</v>
      </c>
      <c r="AN38" s="41">
        <f t="shared" si="116"/>
        <v>54.962816666666654</v>
      </c>
      <c r="AO38" s="19" t="s">
        <v>33</v>
      </c>
    </row>
    <row r="39" spans="1:69" ht="31.5" x14ac:dyDescent="0.25">
      <c r="A39" s="16" t="s">
        <v>89</v>
      </c>
      <c r="B39" s="32" t="s">
        <v>41</v>
      </c>
      <c r="C39" s="29" t="s">
        <v>44</v>
      </c>
      <c r="D39" s="29" t="s">
        <v>60</v>
      </c>
      <c r="E39" s="29">
        <v>2019</v>
      </c>
      <c r="F39" s="29">
        <v>2019</v>
      </c>
      <c r="G39" s="29">
        <v>2019</v>
      </c>
      <c r="H39" s="42">
        <f>10.4469/1.18</f>
        <v>8.8533050847457631</v>
      </c>
      <c r="I39" s="42">
        <f>P39</f>
        <v>11.432833333333335</v>
      </c>
      <c r="J39" s="29" t="s">
        <v>33</v>
      </c>
      <c r="K39" s="42">
        <f>SUM(L39:O39)</f>
        <v>8.8533050847457631</v>
      </c>
      <c r="L39" s="42">
        <v>0</v>
      </c>
      <c r="M39" s="42">
        <v>0</v>
      </c>
      <c r="N39" s="42">
        <f>10.4469/1.18</f>
        <v>8.8533050847457631</v>
      </c>
      <c r="O39" s="42">
        <v>0</v>
      </c>
      <c r="P39" s="42">
        <f t="shared" ref="P39:P49" si="117">Z39+AD39+AF39+AH39+AJ39</f>
        <v>11.432833333333335</v>
      </c>
      <c r="Q39" s="42">
        <v>0</v>
      </c>
      <c r="R39" s="42">
        <v>0</v>
      </c>
      <c r="S39" s="42">
        <f>P39</f>
        <v>11.432833333333335</v>
      </c>
      <c r="T39" s="42">
        <v>0</v>
      </c>
      <c r="U39" s="24" t="s">
        <v>33</v>
      </c>
      <c r="V39" s="24" t="s">
        <v>33</v>
      </c>
      <c r="W39" s="24" t="s">
        <v>33</v>
      </c>
      <c r="X39" s="42">
        <f t="shared" ref="X39:X49" si="118">AK39</f>
        <v>0</v>
      </c>
      <c r="Y39" s="24" t="s">
        <v>33</v>
      </c>
      <c r="Z39" s="42">
        <f t="shared" ref="Z39:Z49" si="119">AL39</f>
        <v>0</v>
      </c>
      <c r="AA39" s="24" t="s">
        <v>33</v>
      </c>
      <c r="AB39" s="24" t="s">
        <v>33</v>
      </c>
      <c r="AC39" s="42">
        <f>10.4469/1.18</f>
        <v>8.8533050847457631</v>
      </c>
      <c r="AD39" s="42">
        <f>13.7194/1.2</f>
        <v>11.432833333333335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f t="shared" ref="AM39:AM44" si="120">AD39+AF39+AH39+AJ39+AK39</f>
        <v>11.432833333333335</v>
      </c>
      <c r="AN39" s="42">
        <f t="shared" ref="AN39" si="121">AD39+AF39+AH39+AJ39+AL39</f>
        <v>11.432833333333335</v>
      </c>
      <c r="AO39" s="21"/>
    </row>
    <row r="40" spans="1:69" ht="31.5" x14ac:dyDescent="0.25">
      <c r="A40" s="16" t="s">
        <v>89</v>
      </c>
      <c r="B40" s="17" t="s">
        <v>59</v>
      </c>
      <c r="C40" s="29" t="s">
        <v>45</v>
      </c>
      <c r="D40" s="29" t="s">
        <v>60</v>
      </c>
      <c r="E40" s="29">
        <v>2020</v>
      </c>
      <c r="F40" s="29">
        <v>2021</v>
      </c>
      <c r="G40" s="29">
        <v>2021</v>
      </c>
      <c r="H40" s="42">
        <v>11.638999999999999</v>
      </c>
      <c r="I40" s="42">
        <f t="shared" ref="I40:I44" si="122">P40</f>
        <v>17.192983333333334</v>
      </c>
      <c r="J40" s="29" t="s">
        <v>33</v>
      </c>
      <c r="K40" s="42">
        <f t="shared" ref="K40:K49" si="123">SUM(L40:O40)</f>
        <v>11.638999999999999</v>
      </c>
      <c r="L40" s="42">
        <v>0</v>
      </c>
      <c r="M40" s="42">
        <v>0</v>
      </c>
      <c r="N40" s="42">
        <v>11.638999999999999</v>
      </c>
      <c r="O40" s="42">
        <v>0</v>
      </c>
      <c r="P40" s="42">
        <f t="shared" si="117"/>
        <v>17.192983333333334</v>
      </c>
      <c r="Q40" s="42">
        <v>0</v>
      </c>
      <c r="R40" s="42">
        <v>0</v>
      </c>
      <c r="S40" s="42">
        <f t="shared" ref="S40:S42" si="124">P40</f>
        <v>17.192983333333334</v>
      </c>
      <c r="T40" s="42">
        <v>0</v>
      </c>
      <c r="U40" s="24" t="s">
        <v>33</v>
      </c>
      <c r="V40" s="24" t="s">
        <v>33</v>
      </c>
      <c r="W40" s="24" t="s">
        <v>33</v>
      </c>
      <c r="X40" s="42">
        <f t="shared" si="118"/>
        <v>0</v>
      </c>
      <c r="Y40" s="24" t="s">
        <v>33</v>
      </c>
      <c r="Z40" s="42">
        <f t="shared" si="119"/>
        <v>0</v>
      </c>
      <c r="AA40" s="24" t="s">
        <v>33</v>
      </c>
      <c r="AB40" s="24" t="s">
        <v>33</v>
      </c>
      <c r="AC40" s="42">
        <v>0</v>
      </c>
      <c r="AD40" s="42">
        <v>0</v>
      </c>
      <c r="AE40" s="42">
        <v>1.173</v>
      </c>
      <c r="AF40" s="42">
        <f>8.0725/1.2</f>
        <v>6.7270833333333337</v>
      </c>
      <c r="AG40" s="42">
        <v>10.4659</v>
      </c>
      <c r="AH40" s="42">
        <v>10.4659</v>
      </c>
      <c r="AI40" s="42">
        <v>0</v>
      </c>
      <c r="AJ40" s="42">
        <v>0</v>
      </c>
      <c r="AK40" s="42">
        <v>0</v>
      </c>
      <c r="AL40" s="42">
        <v>0</v>
      </c>
      <c r="AM40" s="42">
        <f t="shared" si="120"/>
        <v>17.192983333333334</v>
      </c>
      <c r="AN40" s="42">
        <f t="shared" ref="AN40" si="125">AD40+AF40+AH40+AJ40+AL40</f>
        <v>17.192983333333334</v>
      </c>
      <c r="AO40" s="22"/>
    </row>
    <row r="41" spans="1:69" ht="23.25" customHeight="1" x14ac:dyDescent="0.25">
      <c r="A41" s="16" t="s">
        <v>89</v>
      </c>
      <c r="B41" s="17" t="s">
        <v>42</v>
      </c>
      <c r="C41" s="29" t="s">
        <v>46</v>
      </c>
      <c r="D41" s="29" t="s">
        <v>33</v>
      </c>
      <c r="E41" s="29">
        <v>2023</v>
      </c>
      <c r="F41" s="29">
        <v>2023</v>
      </c>
      <c r="G41" s="29">
        <v>2023</v>
      </c>
      <c r="H41" s="42">
        <f>ROUND(10.022/1.2,3)</f>
        <v>8.3520000000000003</v>
      </c>
      <c r="I41" s="42">
        <f>P41</f>
        <v>0</v>
      </c>
      <c r="J41" s="29" t="s">
        <v>33</v>
      </c>
      <c r="K41" s="42">
        <f t="shared" si="123"/>
        <v>8.3520000000000003</v>
      </c>
      <c r="L41" s="42">
        <v>0</v>
      </c>
      <c r="M41" s="42">
        <v>0</v>
      </c>
      <c r="N41" s="42">
        <f>ROUND(10.022/1.2,3)</f>
        <v>8.3520000000000003</v>
      </c>
      <c r="O41" s="42">
        <v>0</v>
      </c>
      <c r="P41" s="42">
        <f t="shared" si="117"/>
        <v>0</v>
      </c>
      <c r="Q41" s="42">
        <v>0</v>
      </c>
      <c r="R41" s="42">
        <v>0</v>
      </c>
      <c r="S41" s="42">
        <f t="shared" si="124"/>
        <v>0</v>
      </c>
      <c r="T41" s="42">
        <v>0</v>
      </c>
      <c r="U41" s="24" t="s">
        <v>33</v>
      </c>
      <c r="V41" s="24" t="s">
        <v>33</v>
      </c>
      <c r="W41" s="24" t="s">
        <v>33</v>
      </c>
      <c r="X41" s="42">
        <f t="shared" si="118"/>
        <v>8.3514999999999997</v>
      </c>
      <c r="Y41" s="24" t="s">
        <v>33</v>
      </c>
      <c r="Z41" s="42">
        <f t="shared" si="119"/>
        <v>0</v>
      </c>
      <c r="AA41" s="24" t="s">
        <v>33</v>
      </c>
      <c r="AB41" s="24" t="s">
        <v>33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f>ROUND(10.022/1.2,3)-0.0005</f>
        <v>8.3514999999999997</v>
      </c>
      <c r="AL41" s="42">
        <v>0</v>
      </c>
      <c r="AM41" s="42">
        <f t="shared" si="120"/>
        <v>8.3514999999999997</v>
      </c>
      <c r="AN41" s="42">
        <f t="shared" ref="AN41" si="126">AD41+AF41+AH41+AJ41+AL41</f>
        <v>0</v>
      </c>
      <c r="AO41" s="21" t="s">
        <v>125</v>
      </c>
    </row>
    <row r="42" spans="1:69" x14ac:dyDescent="0.25">
      <c r="A42" s="16" t="s">
        <v>89</v>
      </c>
      <c r="B42" s="23" t="s">
        <v>43</v>
      </c>
      <c r="C42" s="29" t="s">
        <v>47</v>
      </c>
      <c r="D42" s="29" t="s">
        <v>60</v>
      </c>
      <c r="E42" s="29">
        <v>2020</v>
      </c>
      <c r="F42" s="29">
        <v>2021</v>
      </c>
      <c r="G42" s="29">
        <v>2021</v>
      </c>
      <c r="H42" s="42">
        <v>8.4830000000000005</v>
      </c>
      <c r="I42" s="42">
        <f t="shared" si="122"/>
        <v>0</v>
      </c>
      <c r="J42" s="29" t="s">
        <v>33</v>
      </c>
      <c r="K42" s="42">
        <f t="shared" si="123"/>
        <v>8.4830000000000005</v>
      </c>
      <c r="L42" s="42">
        <v>0</v>
      </c>
      <c r="M42" s="42">
        <v>0</v>
      </c>
      <c r="N42" s="42">
        <v>8.4830000000000005</v>
      </c>
      <c r="O42" s="42">
        <v>0</v>
      </c>
      <c r="P42" s="42">
        <f t="shared" si="117"/>
        <v>0</v>
      </c>
      <c r="Q42" s="42">
        <v>0</v>
      </c>
      <c r="R42" s="42">
        <v>0</v>
      </c>
      <c r="S42" s="42">
        <f t="shared" si="124"/>
        <v>0</v>
      </c>
      <c r="T42" s="42">
        <v>0</v>
      </c>
      <c r="U42" s="24" t="s">
        <v>33</v>
      </c>
      <c r="V42" s="19" t="s">
        <v>33</v>
      </c>
      <c r="W42" s="24" t="s">
        <v>33</v>
      </c>
      <c r="X42" s="42">
        <f t="shared" si="118"/>
        <v>0</v>
      </c>
      <c r="Y42" s="24" t="s">
        <v>33</v>
      </c>
      <c r="Z42" s="42">
        <f t="shared" si="119"/>
        <v>0</v>
      </c>
      <c r="AA42" s="24" t="s">
        <v>33</v>
      </c>
      <c r="AB42" s="24" t="s">
        <v>33</v>
      </c>
      <c r="AC42" s="42">
        <v>0</v>
      </c>
      <c r="AD42" s="42">
        <v>0</v>
      </c>
      <c r="AE42" s="42">
        <v>8.4830000000000005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f t="shared" si="120"/>
        <v>0</v>
      </c>
      <c r="AN42" s="42">
        <f t="shared" ref="AN42" si="127">AD42+AF42+AH42+AJ42+AL42</f>
        <v>0</v>
      </c>
      <c r="AO42" s="23"/>
    </row>
    <row r="43" spans="1:69" ht="51.75" customHeight="1" x14ac:dyDescent="0.25">
      <c r="A43" s="16" t="s">
        <v>89</v>
      </c>
      <c r="B43" s="23" t="s">
        <v>90</v>
      </c>
      <c r="C43" s="29" t="s">
        <v>91</v>
      </c>
      <c r="D43" s="29" t="s">
        <v>33</v>
      </c>
      <c r="E43" s="29">
        <v>2022</v>
      </c>
      <c r="F43" s="29">
        <v>2023</v>
      </c>
      <c r="G43" s="29">
        <v>2023</v>
      </c>
      <c r="H43" s="42">
        <f>ROUND(2.3002/1.2,3)</f>
        <v>1.917</v>
      </c>
      <c r="I43" s="42">
        <f t="shared" si="122"/>
        <v>2.0510000000000002</v>
      </c>
      <c r="J43" s="29" t="s">
        <v>33</v>
      </c>
      <c r="K43" s="42">
        <f t="shared" si="123"/>
        <v>1.917</v>
      </c>
      <c r="L43" s="42">
        <v>0</v>
      </c>
      <c r="M43" s="42">
        <v>0</v>
      </c>
      <c r="N43" s="42">
        <f>ROUND(2.3002/1.2,3)</f>
        <v>1.917</v>
      </c>
      <c r="O43" s="42">
        <v>0</v>
      </c>
      <c r="P43" s="42">
        <f t="shared" si="117"/>
        <v>2.0510000000000002</v>
      </c>
      <c r="Q43" s="42">
        <v>0</v>
      </c>
      <c r="R43" s="42">
        <v>0</v>
      </c>
      <c r="S43" s="42">
        <f>P43</f>
        <v>2.0510000000000002</v>
      </c>
      <c r="T43" s="42">
        <v>0</v>
      </c>
      <c r="U43" s="19" t="s">
        <v>33</v>
      </c>
      <c r="V43" s="19" t="s">
        <v>33</v>
      </c>
      <c r="W43" s="19" t="s">
        <v>33</v>
      </c>
      <c r="X43" s="42">
        <f t="shared" si="118"/>
        <v>1.917</v>
      </c>
      <c r="Y43" s="19" t="s">
        <v>33</v>
      </c>
      <c r="Z43" s="42">
        <f t="shared" si="119"/>
        <v>2.0510000000000002</v>
      </c>
      <c r="AA43" s="19" t="s">
        <v>33</v>
      </c>
      <c r="AB43" s="19" t="s">
        <v>33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f>ROUND(2.3002/1.2,3)</f>
        <v>1.917</v>
      </c>
      <c r="AL43" s="42">
        <f>ROUND(2.4616/1.2,3)</f>
        <v>2.0510000000000002</v>
      </c>
      <c r="AM43" s="42">
        <f t="shared" si="120"/>
        <v>1.917</v>
      </c>
      <c r="AN43" s="42">
        <f t="shared" ref="AN43" si="128">AD43+AF43+AH43+AJ43+AL43</f>
        <v>2.0510000000000002</v>
      </c>
      <c r="AO43" s="22" t="s">
        <v>126</v>
      </c>
    </row>
    <row r="44" spans="1:69" ht="47.25" x14ac:dyDescent="0.25">
      <c r="A44" s="16" t="s">
        <v>89</v>
      </c>
      <c r="B44" s="23" t="s">
        <v>92</v>
      </c>
      <c r="C44" s="29" t="s">
        <v>93</v>
      </c>
      <c r="D44" s="29" t="s">
        <v>33</v>
      </c>
      <c r="E44" s="29">
        <v>2022</v>
      </c>
      <c r="F44" s="29">
        <v>2023</v>
      </c>
      <c r="G44" s="29">
        <v>2023</v>
      </c>
      <c r="H44" s="42">
        <f>ROUND(1.622/1.2,3)</f>
        <v>1.3520000000000001</v>
      </c>
      <c r="I44" s="42">
        <f t="shared" si="122"/>
        <v>2.492</v>
      </c>
      <c r="J44" s="29" t="s">
        <v>33</v>
      </c>
      <c r="K44" s="42">
        <f t="shared" si="123"/>
        <v>1.3520000000000001</v>
      </c>
      <c r="L44" s="42">
        <v>0</v>
      </c>
      <c r="M44" s="42">
        <v>0</v>
      </c>
      <c r="N44" s="42">
        <f>ROUND(1.622/1.2,3)</f>
        <v>1.3520000000000001</v>
      </c>
      <c r="O44" s="42">
        <v>0</v>
      </c>
      <c r="P44" s="42">
        <f t="shared" si="117"/>
        <v>2.492</v>
      </c>
      <c r="Q44" s="42">
        <v>0</v>
      </c>
      <c r="R44" s="42">
        <v>0</v>
      </c>
      <c r="S44" s="42">
        <f>P44</f>
        <v>2.492</v>
      </c>
      <c r="T44" s="42">
        <v>0</v>
      </c>
      <c r="U44" s="19" t="s">
        <v>33</v>
      </c>
      <c r="V44" s="19" t="s">
        <v>33</v>
      </c>
      <c r="W44" s="19" t="s">
        <v>33</v>
      </c>
      <c r="X44" s="42">
        <f t="shared" si="118"/>
        <v>1.3520000000000001</v>
      </c>
      <c r="Y44" s="19" t="s">
        <v>33</v>
      </c>
      <c r="Z44" s="42">
        <f t="shared" si="119"/>
        <v>2.492</v>
      </c>
      <c r="AA44" s="19" t="s">
        <v>33</v>
      </c>
      <c r="AB44" s="19" t="s">
        <v>33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f>ROUND(1.622/1.2,3)</f>
        <v>1.3520000000000001</v>
      </c>
      <c r="AL44" s="42">
        <f>ROUND(2.99/1.2,3)</f>
        <v>2.492</v>
      </c>
      <c r="AM44" s="42">
        <f t="shared" si="120"/>
        <v>1.3520000000000001</v>
      </c>
      <c r="AN44" s="42">
        <f t="shared" ref="AN44" si="129">AD44+AF44+AH44+AJ44+AL44</f>
        <v>2.492</v>
      </c>
      <c r="AO44" s="22" t="s">
        <v>126</v>
      </c>
    </row>
    <row r="45" spans="1:69" x14ac:dyDescent="0.25">
      <c r="A45" s="16" t="s">
        <v>89</v>
      </c>
      <c r="B45" s="23" t="s">
        <v>94</v>
      </c>
      <c r="C45" s="29" t="s">
        <v>95</v>
      </c>
      <c r="D45" s="29" t="s">
        <v>60</v>
      </c>
      <c r="E45" s="29">
        <v>2022</v>
      </c>
      <c r="F45" s="29">
        <v>2022</v>
      </c>
      <c r="G45" s="29">
        <v>2022</v>
      </c>
      <c r="H45" s="42">
        <f>ROUND(2.9138/1.2,3)</f>
        <v>2.4279999999999999</v>
      </c>
      <c r="I45" s="42">
        <f t="shared" ref="I45:I49" si="130">P45</f>
        <v>2.4279999999999999</v>
      </c>
      <c r="J45" s="29" t="s">
        <v>33</v>
      </c>
      <c r="K45" s="42">
        <f t="shared" ref="K45:K46" si="131">SUM(L45:O45)</f>
        <v>2.4279999999999999</v>
      </c>
      <c r="L45" s="42">
        <v>0</v>
      </c>
      <c r="M45" s="42">
        <v>0</v>
      </c>
      <c r="N45" s="42">
        <v>0</v>
      </c>
      <c r="O45" s="42">
        <f>ROUND(2.9138/1.2,3)</f>
        <v>2.4279999999999999</v>
      </c>
      <c r="P45" s="42">
        <f t="shared" si="117"/>
        <v>2.4279999999999999</v>
      </c>
      <c r="Q45" s="42">
        <v>0</v>
      </c>
      <c r="R45" s="42">
        <v>0</v>
      </c>
      <c r="S45" s="42">
        <v>0</v>
      </c>
      <c r="T45" s="42">
        <f>P45</f>
        <v>2.4279999999999999</v>
      </c>
      <c r="U45" s="34" t="s">
        <v>33</v>
      </c>
      <c r="V45" s="34" t="s">
        <v>33</v>
      </c>
      <c r="W45" s="34" t="s">
        <v>33</v>
      </c>
      <c r="X45" s="42">
        <f t="shared" si="118"/>
        <v>0</v>
      </c>
      <c r="Y45" s="34" t="s">
        <v>33</v>
      </c>
      <c r="Z45" s="42">
        <f t="shared" si="119"/>
        <v>0</v>
      </c>
      <c r="AA45" s="34" t="s">
        <v>33</v>
      </c>
      <c r="AB45" s="34" t="s">
        <v>33</v>
      </c>
      <c r="AC45" s="42">
        <v>0</v>
      </c>
      <c r="AD45" s="42">
        <v>0</v>
      </c>
      <c r="AE45" s="42">
        <v>0</v>
      </c>
      <c r="AF45" s="42">
        <v>0</v>
      </c>
      <c r="AG45" s="42">
        <v>0</v>
      </c>
      <c r="AH45" s="42">
        <v>0</v>
      </c>
      <c r="AI45" s="42">
        <f>ROUND(2.9138/1.2,3)</f>
        <v>2.4279999999999999</v>
      </c>
      <c r="AJ45" s="42">
        <f>ROUND(2913800/1000000/1.2,3)</f>
        <v>2.4279999999999999</v>
      </c>
      <c r="AK45" s="42">
        <v>0</v>
      </c>
      <c r="AL45" s="42">
        <v>0</v>
      </c>
      <c r="AM45" s="42">
        <f t="shared" ref="AM45" si="132">AD45+AF45+AH45+AJ45+AK45</f>
        <v>2.4279999999999999</v>
      </c>
      <c r="AN45" s="42">
        <f t="shared" ref="AN45" si="133">AD45+AF45+AH45+AJ45+AL45</f>
        <v>2.4279999999999999</v>
      </c>
      <c r="AO45" s="21"/>
    </row>
    <row r="46" spans="1:69" x14ac:dyDescent="0.25">
      <c r="A46" s="16" t="s">
        <v>89</v>
      </c>
      <c r="B46" s="23" t="s">
        <v>96</v>
      </c>
      <c r="C46" s="29" t="s">
        <v>97</v>
      </c>
      <c r="D46" s="29" t="s">
        <v>33</v>
      </c>
      <c r="E46" s="29">
        <v>2023</v>
      </c>
      <c r="F46" s="29">
        <v>2023</v>
      </c>
      <c r="G46" s="29">
        <v>2023</v>
      </c>
      <c r="H46" s="42">
        <f>ROUND(15.1861/1.2,3)</f>
        <v>12.654999999999999</v>
      </c>
      <c r="I46" s="42">
        <f t="shared" si="130"/>
        <v>0</v>
      </c>
      <c r="J46" s="29" t="s">
        <v>33</v>
      </c>
      <c r="K46" s="42">
        <f t="shared" si="131"/>
        <v>12.654999999999999</v>
      </c>
      <c r="L46" s="42">
        <v>0</v>
      </c>
      <c r="M46" s="42">
        <v>0</v>
      </c>
      <c r="N46" s="42">
        <v>0</v>
      </c>
      <c r="O46" s="42">
        <f>ROUND(15.1861/1.2,3)</f>
        <v>12.654999999999999</v>
      </c>
      <c r="P46" s="42">
        <f t="shared" si="117"/>
        <v>0</v>
      </c>
      <c r="Q46" s="42">
        <v>0</v>
      </c>
      <c r="R46" s="42">
        <v>0</v>
      </c>
      <c r="S46" s="42">
        <v>0</v>
      </c>
      <c r="T46" s="42">
        <f>P46</f>
        <v>0</v>
      </c>
      <c r="U46" s="35" t="s">
        <v>33</v>
      </c>
      <c r="V46" s="35" t="s">
        <v>33</v>
      </c>
      <c r="W46" s="35" t="s">
        <v>33</v>
      </c>
      <c r="X46" s="42">
        <f t="shared" si="118"/>
        <v>12.6549</v>
      </c>
      <c r="Y46" s="35" t="s">
        <v>33</v>
      </c>
      <c r="Z46" s="42">
        <f t="shared" si="119"/>
        <v>0</v>
      </c>
      <c r="AA46" s="35" t="s">
        <v>33</v>
      </c>
      <c r="AB46" s="35" t="s">
        <v>33</v>
      </c>
      <c r="AC46" s="42">
        <v>0</v>
      </c>
      <c r="AD46" s="42">
        <v>0</v>
      </c>
      <c r="AE46" s="42">
        <v>0</v>
      </c>
      <c r="AF46" s="42">
        <v>0</v>
      </c>
      <c r="AG46" s="42">
        <v>0</v>
      </c>
      <c r="AH46" s="42">
        <v>0</v>
      </c>
      <c r="AI46" s="42">
        <v>0</v>
      </c>
      <c r="AJ46" s="42">
        <v>0</v>
      </c>
      <c r="AK46" s="42">
        <f>ROUND(15.1861/1.2,3)-0.0001</f>
        <v>12.6549</v>
      </c>
      <c r="AL46" s="42">
        <v>0</v>
      </c>
      <c r="AM46" s="42">
        <f t="shared" ref="AM46:AM49" si="134">AD46+AF46+AH46+AJ46+AK46</f>
        <v>12.6549</v>
      </c>
      <c r="AN46" s="42">
        <f t="shared" ref="AN46:AN49" si="135">AD46+AF46+AH46+AJ46+AL46</f>
        <v>0</v>
      </c>
      <c r="AO46" s="21" t="s">
        <v>125</v>
      </c>
    </row>
    <row r="47" spans="1:69" ht="31.5" x14ac:dyDescent="0.25">
      <c r="A47" s="16" t="s">
        <v>89</v>
      </c>
      <c r="B47" s="23" t="s">
        <v>107</v>
      </c>
      <c r="C47" s="29" t="s">
        <v>98</v>
      </c>
      <c r="D47" s="29" t="s">
        <v>33</v>
      </c>
      <c r="E47" s="29">
        <v>2022</v>
      </c>
      <c r="F47" s="29">
        <v>2022</v>
      </c>
      <c r="G47" s="29">
        <v>2022</v>
      </c>
      <c r="H47" s="42">
        <f>ROUND(0.81/1.2,3)</f>
        <v>0.67500000000000004</v>
      </c>
      <c r="I47" s="42">
        <f t="shared" si="130"/>
        <v>0.67500000000000004</v>
      </c>
      <c r="J47" s="29" t="s">
        <v>33</v>
      </c>
      <c r="K47" s="42">
        <f t="shared" ref="K47" si="136">SUM(L47:O47)</f>
        <v>0.67500000000000004</v>
      </c>
      <c r="L47" s="42">
        <v>0</v>
      </c>
      <c r="M47" s="42">
        <v>0</v>
      </c>
      <c r="N47" s="42">
        <f>ROUND(0.81/1.2,3)</f>
        <v>0.67500000000000004</v>
      </c>
      <c r="O47" s="42">
        <v>0</v>
      </c>
      <c r="P47" s="42">
        <f t="shared" si="117"/>
        <v>0.67500000000000004</v>
      </c>
      <c r="Q47" s="42">
        <v>0</v>
      </c>
      <c r="R47" s="42">
        <v>0</v>
      </c>
      <c r="S47" s="42">
        <f t="shared" ref="S47" si="137">P47</f>
        <v>0.67500000000000004</v>
      </c>
      <c r="T47" s="42">
        <v>0</v>
      </c>
      <c r="U47" s="39" t="s">
        <v>33</v>
      </c>
      <c r="V47" s="39" t="s">
        <v>33</v>
      </c>
      <c r="W47" s="39" t="s">
        <v>33</v>
      </c>
      <c r="X47" s="42">
        <f t="shared" si="118"/>
        <v>0</v>
      </c>
      <c r="Y47" s="39" t="s">
        <v>33</v>
      </c>
      <c r="Z47" s="42">
        <f t="shared" si="119"/>
        <v>0</v>
      </c>
      <c r="AA47" s="39" t="s">
        <v>33</v>
      </c>
      <c r="AB47" s="39" t="s">
        <v>33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f>ROUND(0.81/1.2,3)</f>
        <v>0.67500000000000004</v>
      </c>
      <c r="AJ47" s="42">
        <f>ROUND(0.81/1.2,3)</f>
        <v>0.67500000000000004</v>
      </c>
      <c r="AK47" s="42">
        <v>0</v>
      </c>
      <c r="AL47" s="42">
        <v>0</v>
      </c>
      <c r="AM47" s="42">
        <f t="shared" si="134"/>
        <v>0.67500000000000004</v>
      </c>
      <c r="AN47" s="42">
        <f t="shared" si="135"/>
        <v>0.67500000000000004</v>
      </c>
      <c r="AO47" s="21"/>
    </row>
    <row r="48" spans="1:69" x14ac:dyDescent="0.25">
      <c r="A48" s="16" t="s">
        <v>89</v>
      </c>
      <c r="B48" s="23" t="s">
        <v>109</v>
      </c>
      <c r="C48" s="29" t="s">
        <v>110</v>
      </c>
      <c r="D48" s="29" t="s">
        <v>33</v>
      </c>
      <c r="E48" s="29">
        <v>2023</v>
      </c>
      <c r="F48" s="29">
        <v>2023</v>
      </c>
      <c r="G48" s="29">
        <v>2023</v>
      </c>
      <c r="H48" s="42">
        <v>0</v>
      </c>
      <c r="I48" s="42">
        <f t="shared" ref="I48" si="138">P48</f>
        <v>10.833</v>
      </c>
      <c r="J48" s="29" t="s">
        <v>33</v>
      </c>
      <c r="K48" s="42">
        <f t="shared" ref="K48" si="139">SUM(L48:O48)</f>
        <v>0</v>
      </c>
      <c r="L48" s="42">
        <v>0</v>
      </c>
      <c r="M48" s="42">
        <v>0</v>
      </c>
      <c r="N48" s="42">
        <v>0</v>
      </c>
      <c r="O48" s="42">
        <v>0</v>
      </c>
      <c r="P48" s="42">
        <f t="shared" ref="P48" si="140">Z48+AD48+AF48+AH48+AJ48</f>
        <v>10.833</v>
      </c>
      <c r="Q48" s="42">
        <v>0</v>
      </c>
      <c r="R48" s="42">
        <v>0</v>
      </c>
      <c r="S48" s="42">
        <v>0</v>
      </c>
      <c r="T48" s="42">
        <f t="shared" ref="T48:T49" si="141">P48</f>
        <v>10.833</v>
      </c>
      <c r="U48" s="43" t="s">
        <v>33</v>
      </c>
      <c r="V48" s="43" t="s">
        <v>33</v>
      </c>
      <c r="W48" s="43" t="s">
        <v>33</v>
      </c>
      <c r="X48" s="42">
        <f t="shared" ref="X48" si="142">AK48</f>
        <v>0</v>
      </c>
      <c r="Y48" s="43" t="s">
        <v>33</v>
      </c>
      <c r="Z48" s="42">
        <f t="shared" ref="Z48" si="143">AL48</f>
        <v>10.833</v>
      </c>
      <c r="AA48" s="43" t="s">
        <v>33</v>
      </c>
      <c r="AB48" s="43" t="s">
        <v>33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f>ROUND(13/1.2,3)</f>
        <v>10.833</v>
      </c>
      <c r="AM48" s="42">
        <f t="shared" ref="AM48" si="144">AD48+AF48+AH48+AJ48+AK48</f>
        <v>0</v>
      </c>
      <c r="AN48" s="42">
        <f t="shared" ref="AN48" si="145">AD48+AF48+AH48+AJ48+AL48</f>
        <v>10.833</v>
      </c>
      <c r="AO48" s="21" t="s">
        <v>58</v>
      </c>
    </row>
    <row r="49" spans="1:41" x14ac:dyDescent="0.25">
      <c r="A49" s="16" t="s">
        <v>89</v>
      </c>
      <c r="B49" s="23" t="s">
        <v>113</v>
      </c>
      <c r="C49" s="29" t="s">
        <v>114</v>
      </c>
      <c r="D49" s="29" t="s">
        <v>33</v>
      </c>
      <c r="E49" s="29">
        <v>2023</v>
      </c>
      <c r="F49" s="29">
        <v>2023</v>
      </c>
      <c r="G49" s="29">
        <v>2023</v>
      </c>
      <c r="H49" s="42">
        <v>0</v>
      </c>
      <c r="I49" s="42">
        <f t="shared" si="130"/>
        <v>7.8579999999999997</v>
      </c>
      <c r="J49" s="29" t="s">
        <v>33</v>
      </c>
      <c r="K49" s="42">
        <f t="shared" si="123"/>
        <v>0</v>
      </c>
      <c r="L49" s="42">
        <v>0</v>
      </c>
      <c r="M49" s="42">
        <v>0</v>
      </c>
      <c r="N49" s="42">
        <v>0</v>
      </c>
      <c r="O49" s="42">
        <v>0</v>
      </c>
      <c r="P49" s="42">
        <f t="shared" si="117"/>
        <v>7.8579999999999997</v>
      </c>
      <c r="Q49" s="42">
        <v>0</v>
      </c>
      <c r="R49" s="42">
        <v>0</v>
      </c>
      <c r="S49" s="42">
        <v>0</v>
      </c>
      <c r="T49" s="42">
        <f t="shared" si="141"/>
        <v>7.8579999999999997</v>
      </c>
      <c r="U49" s="35" t="s">
        <v>33</v>
      </c>
      <c r="V49" s="35" t="s">
        <v>33</v>
      </c>
      <c r="W49" s="35" t="s">
        <v>33</v>
      </c>
      <c r="X49" s="42">
        <f t="shared" si="118"/>
        <v>0</v>
      </c>
      <c r="Y49" s="35" t="s">
        <v>33</v>
      </c>
      <c r="Z49" s="42">
        <f t="shared" si="119"/>
        <v>7.8579999999999997</v>
      </c>
      <c r="AA49" s="35" t="s">
        <v>33</v>
      </c>
      <c r="AB49" s="35" t="s">
        <v>33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f>ROUND(9.43/1.2,3)</f>
        <v>7.8579999999999997</v>
      </c>
      <c r="AM49" s="42">
        <f t="shared" si="134"/>
        <v>0</v>
      </c>
      <c r="AN49" s="42">
        <f t="shared" si="135"/>
        <v>7.8579999999999997</v>
      </c>
      <c r="AO49" s="21" t="s">
        <v>58</v>
      </c>
    </row>
    <row r="58" spans="1:41" x14ac:dyDescent="0.25">
      <c r="AD58" s="15"/>
      <c r="AF58" s="15"/>
    </row>
  </sheetData>
  <mergeCells count="32">
    <mergeCell ref="K14:T14"/>
    <mergeCell ref="U14:Z14"/>
    <mergeCell ref="AA14:AB15"/>
    <mergeCell ref="AC14:AN14"/>
    <mergeCell ref="AO14:AO16"/>
    <mergeCell ref="K15:O15"/>
    <mergeCell ref="P15:T15"/>
    <mergeCell ref="U15:V15"/>
    <mergeCell ref="W15:X15"/>
    <mergeCell ref="Y15:Z15"/>
    <mergeCell ref="AC15:AD15"/>
    <mergeCell ref="AG15:AH15"/>
    <mergeCell ref="AI15:AJ15"/>
    <mergeCell ref="AM15:AM16"/>
    <mergeCell ref="AN15:AN16"/>
    <mergeCell ref="AE15:AF15"/>
    <mergeCell ref="A12:AO12"/>
    <mergeCell ref="AK15:AL15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19" firstPageNumber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H0228_1157017012448_03_0_69_0</vt:lpstr>
      <vt:lpstr>H0228_1157017012448_03_0_69_0!Область_печати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cp:lastPrinted>2018-02-27T12:21:38Z</cp:lastPrinted>
  <dcterms:created xsi:type="dcterms:W3CDTF">2018-02-27T12:17:46Z</dcterms:created>
  <dcterms:modified xsi:type="dcterms:W3CDTF">2023-04-04T13:47:19Z</dcterms:modified>
</cp:coreProperties>
</file>