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45" yWindow="45" windowWidth="28350" windowHeight="11610"/>
  </bookViews>
  <sheets>
    <sheet name="G0228_1157017012448_03_0_69_0" sheetId="1" r:id="rId1"/>
  </sheets>
  <definedNames>
    <definedName name="_xlnm.Print_Titles" localSheetId="0">G0228_1157017012448_03_0_69_0!$9:$12</definedName>
    <definedName name="_xlnm.Print_Area" localSheetId="0">G0228_1157017012448_03_0_69_0!$A$1:$U$48</definedName>
  </definedNames>
  <calcPr calcId="145621"/>
</workbook>
</file>

<file path=xl/calcChain.xml><?xml version="1.0" encoding="utf-8"?>
<calcChain xmlns="http://schemas.openxmlformats.org/spreadsheetml/2006/main">
  <c r="Q44" i="1" l="1"/>
  <c r="Q43" i="1"/>
  <c r="Q42" i="1"/>
  <c r="Q41" i="1"/>
  <c r="Q40" i="1"/>
  <c r="Q39" i="1"/>
  <c r="Q38" i="1"/>
  <c r="Q37" i="1"/>
  <c r="Q36" i="1"/>
  <c r="Q35" i="1"/>
  <c r="Q34" i="1"/>
  <c r="Q32" i="1"/>
  <c r="Q30" i="1"/>
  <c r="Q28" i="1"/>
  <c r="Q25" i="1"/>
  <c r="Q24" i="1"/>
  <c r="Q21" i="1"/>
  <c r="Q19" i="1"/>
  <c r="P44" i="1" l="1"/>
  <c r="P43" i="1"/>
  <c r="R43" i="1"/>
  <c r="N42" i="1"/>
  <c r="R42" i="1" s="1"/>
  <c r="M42" i="1"/>
  <c r="R29" i="1"/>
  <c r="Q29" i="1"/>
  <c r="P29" i="1"/>
  <c r="O29" i="1"/>
  <c r="N29" i="1"/>
  <c r="M29" i="1"/>
  <c r="L29" i="1"/>
  <c r="K29" i="1"/>
  <c r="J29" i="1"/>
  <c r="I29" i="1"/>
  <c r="H29" i="1"/>
  <c r="G29" i="1"/>
  <c r="P30" i="1"/>
  <c r="R30" i="1" s="1"/>
  <c r="R20" i="1"/>
  <c r="Q20" i="1"/>
  <c r="P20" i="1"/>
  <c r="O20" i="1"/>
  <c r="N20" i="1"/>
  <c r="M20" i="1"/>
  <c r="L20" i="1"/>
  <c r="K20" i="1"/>
  <c r="J20" i="1"/>
  <c r="I20" i="1"/>
  <c r="H20" i="1"/>
  <c r="G20" i="1"/>
  <c r="P21" i="1"/>
  <c r="R21" i="1"/>
  <c r="P25" i="1" l="1"/>
  <c r="P24" i="1"/>
  <c r="P39" i="1"/>
  <c r="P38" i="1"/>
  <c r="N40" i="1" l="1"/>
  <c r="N32" i="1"/>
  <c r="N28" i="1"/>
  <c r="O25" i="1"/>
  <c r="N24" i="1"/>
  <c r="N19" i="1"/>
  <c r="O41" i="1"/>
  <c r="M40" i="1"/>
  <c r="O39" i="1"/>
  <c r="O38" i="1"/>
  <c r="M32" i="1"/>
  <c r="M28" i="1"/>
  <c r="M24" i="1"/>
  <c r="M19" i="1"/>
  <c r="N23" i="1" l="1"/>
  <c r="H23" i="1"/>
  <c r="I23" i="1"/>
  <c r="J23" i="1"/>
  <c r="K23" i="1"/>
  <c r="L23" i="1"/>
  <c r="G23" i="1"/>
  <c r="R25" i="1"/>
  <c r="H18" i="1" l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N18" i="1"/>
  <c r="N17" i="1" s="1"/>
  <c r="O18" i="1"/>
  <c r="O17" i="1" s="1"/>
  <c r="P18" i="1"/>
  <c r="P17" i="1" s="1"/>
  <c r="G18" i="1"/>
  <c r="G17" i="1" s="1"/>
  <c r="Q18" i="1" l="1"/>
  <c r="Q17" i="1" s="1"/>
  <c r="R19" i="1" l="1"/>
  <c r="R18" i="1" s="1"/>
  <c r="R17" i="1" s="1"/>
  <c r="R44" i="1" l="1"/>
  <c r="R41" i="1"/>
  <c r="R40" i="1" l="1"/>
  <c r="R39" i="1" l="1"/>
  <c r="R38" i="1" l="1"/>
  <c r="R37" i="1" l="1"/>
  <c r="R36" i="1" l="1"/>
  <c r="R32" i="1" l="1"/>
  <c r="R28" i="1" l="1"/>
  <c r="O24" i="1" l="1"/>
  <c r="O23" i="1" s="1"/>
  <c r="M23" i="1" l="1"/>
  <c r="Q23" i="1"/>
  <c r="P23" i="1" l="1"/>
  <c r="Q27" i="1" l="1"/>
  <c r="R31" i="1"/>
  <c r="Q31" i="1"/>
  <c r="R27" i="1"/>
  <c r="R24" i="1"/>
  <c r="Q22" i="1"/>
  <c r="Q26" i="1" l="1"/>
  <c r="R26" i="1"/>
  <c r="R23" i="1"/>
  <c r="R22" i="1" s="1"/>
  <c r="P33" i="1"/>
  <c r="O33" i="1"/>
  <c r="P31" i="1"/>
  <c r="O31" i="1"/>
  <c r="P27" i="1"/>
  <c r="P26" i="1" s="1"/>
  <c r="O27" i="1"/>
  <c r="O26" i="1" s="1"/>
  <c r="P22" i="1"/>
  <c r="O22" i="1"/>
  <c r="O16" i="1" l="1"/>
  <c r="O14" i="1" s="1"/>
  <c r="P16" i="1"/>
  <c r="P14" i="1" s="1"/>
  <c r="Q16" i="1"/>
  <c r="Q14" i="1" s="1"/>
  <c r="R16" i="1"/>
  <c r="R14" i="1" s="1"/>
  <c r="N31" i="1"/>
  <c r="M31" i="1"/>
  <c r="N27" i="1"/>
  <c r="N26" i="1" s="1"/>
  <c r="M27" i="1"/>
  <c r="M26" i="1" s="1"/>
  <c r="N22" i="1" l="1"/>
  <c r="M22" i="1"/>
  <c r="M16" i="1" s="1"/>
  <c r="N16" i="1" l="1"/>
  <c r="N14" i="1" s="1"/>
  <c r="M14" i="1"/>
  <c r="L33" i="1"/>
  <c r="L15" i="1" s="1"/>
  <c r="K33" i="1"/>
  <c r="K15" i="1" s="1"/>
  <c r="L31" i="1"/>
  <c r="L27" i="1"/>
  <c r="L26" i="1" s="1"/>
  <c r="L22" i="1"/>
  <c r="K31" i="1"/>
  <c r="K27" i="1"/>
  <c r="K26" i="1" s="1"/>
  <c r="J31" i="1"/>
  <c r="J27" i="1"/>
  <c r="J26" i="1" s="1"/>
  <c r="J22" i="1"/>
  <c r="I31" i="1"/>
  <c r="I27" i="1"/>
  <c r="I26" i="1" s="1"/>
  <c r="I22" i="1"/>
  <c r="H31" i="1"/>
  <c r="H27" i="1"/>
  <c r="H26" i="1" s="1"/>
  <c r="H22" i="1"/>
  <c r="G31" i="1"/>
  <c r="G27" i="1"/>
  <c r="G26" i="1" s="1"/>
  <c r="G22" i="1"/>
  <c r="H16" i="1" l="1"/>
  <c r="L16" i="1"/>
  <c r="L14" i="1" s="1"/>
  <c r="L13" i="1" s="1"/>
  <c r="G16" i="1"/>
  <c r="G14" i="1" s="1"/>
  <c r="H14" i="1"/>
  <c r="K22" i="1"/>
  <c r="J16" i="1" l="1"/>
  <c r="J14" i="1" s="1"/>
  <c r="I16" i="1"/>
  <c r="I14" i="1" s="1"/>
  <c r="K16" i="1"/>
  <c r="K14" i="1" s="1"/>
  <c r="K13" i="1" s="1"/>
  <c r="P15" i="1" l="1"/>
  <c r="P13" i="1" s="1"/>
  <c r="N33" i="1"/>
  <c r="N15" i="1" s="1"/>
  <c r="N13" i="1" s="1"/>
  <c r="M33" i="1"/>
  <c r="M15" i="1" s="1"/>
  <c r="M13" i="1" s="1"/>
  <c r="J35" i="1"/>
  <c r="I35" i="1"/>
  <c r="I33" i="1" s="1"/>
  <c r="R35" i="1" l="1"/>
  <c r="J33" i="1"/>
  <c r="O15" i="1"/>
  <c r="O13" i="1" s="1"/>
  <c r="J15" i="1"/>
  <c r="J13" i="1" s="1"/>
  <c r="I15" i="1"/>
  <c r="I13" i="1" s="1"/>
  <c r="H34" i="1" l="1"/>
  <c r="R34" i="1" l="1"/>
  <c r="R33" i="1" s="1"/>
  <c r="R15" i="1" s="1"/>
  <c r="R13" i="1" s="1"/>
  <c r="Q33" i="1"/>
  <c r="Q15" i="1" s="1"/>
  <c r="Q13" i="1" s="1"/>
  <c r="H33" i="1"/>
  <c r="H15" i="1" s="1"/>
  <c r="H13" i="1" s="1"/>
  <c r="G34" i="1"/>
  <c r="G33" i="1" l="1"/>
  <c r="G15" i="1" s="1"/>
  <c r="G13" i="1" s="1"/>
</calcChain>
</file>

<file path=xl/sharedStrings.xml><?xml version="1.0" encoding="utf-8"?>
<sst xmlns="http://schemas.openxmlformats.org/spreadsheetml/2006/main" count="234" uniqueCount="111">
  <si>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</si>
  <si>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</si>
  <si>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</si>
  <si>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</si>
  <si>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</si>
  <si>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</si>
  <si>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</si>
  <si>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</si>
  <si>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</si>
  <si>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</si>
  <si>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</si>
  <si>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нд</t>
  </si>
  <si>
    <t>ВСЕГО по инвестиционной программе, в том числе:</t>
  </si>
  <si>
    <t>0</t>
  </si>
  <si>
    <t>Прочие инвестиционные проекты, всего, в том числе:</t>
  </si>
  <si>
    <t>Внешнее электроснабжение МЖД №10, 11, 12, 13, 14, 15, 16 в мкр.Северный</t>
  </si>
  <si>
    <t>ПС 35/10 кВ "Гравийная"</t>
  </si>
  <si>
    <t>Внешнее электроснабжение мкр.Центральный</t>
  </si>
  <si>
    <t>I_TES001</t>
  </si>
  <si>
    <t>I_TES002</t>
  </si>
  <si>
    <t>I_TES003</t>
  </si>
  <si>
    <t>I_TES004</t>
  </si>
  <si>
    <t xml:space="preserve">Факт </t>
  </si>
  <si>
    <t>Утвержденный план</t>
  </si>
  <si>
    <t xml:space="preserve">2020 год </t>
  </si>
  <si>
    <t xml:space="preserve">2021 год </t>
  </si>
  <si>
    <t xml:space="preserve">2022 год </t>
  </si>
  <si>
    <t xml:space="preserve">2023 год  </t>
  </si>
  <si>
    <t xml:space="preserve">2019 год </t>
  </si>
  <si>
    <t>Внешнее электроснабжение кварталов 1, 2, 3, 4, 5, 6, 7 в мкр. Северный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</si>
  <si>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</si>
  <si>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</si>
  <si>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</si>
  <si>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</si>
  <si>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</t>
  </si>
  <si>
    <t>Реконструкция, модернизация, техническое перевооружение,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</si>
  <si>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</si>
  <si>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</si>
  <si>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</si>
  <si>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</si>
  <si>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линий электропередач</t>
  </si>
  <si>
    <t>I_TES008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</si>
  <si>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</si>
  <si>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</si>
  <si>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</si>
  <si>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</si>
  <si>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Внедрение АСКУЭ</t>
  </si>
  <si>
    <t>I_TES009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</si>
  <si>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</si>
  <si>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</si>
  <si>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устройств передачи данных для АСКУЭ</t>
  </si>
  <si>
    <t>I_TES010</t>
  </si>
  <si>
    <t>1.6</t>
  </si>
  <si>
    <t>Приобретение дизельного генератора</t>
  </si>
  <si>
    <t>I_TES005</t>
  </si>
  <si>
    <t>Приобретение мобильного парогенератора</t>
  </si>
  <si>
    <t>I_TES006</t>
  </si>
  <si>
    <t>Приобретение двух автомобилей УАЗ</t>
  </si>
  <si>
    <t>I_TES007</t>
  </si>
  <si>
    <t>Приобретение крана автомобильного</t>
  </si>
  <si>
    <t>I_TES011</t>
  </si>
  <si>
    <t>I_TES012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</si>
  <si>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</si>
  <si>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</si>
  <si>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</si>
  <si>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</si>
  <si>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трансформаторов собственных нужд на ПС "Гравийная"</t>
  </si>
  <si>
    <t>I_TES013</t>
  </si>
  <si>
    <t>Модернизация линий электропередач Томского района (инвестиционные обязательства)</t>
  </si>
  <si>
    <t>I_TES014</t>
  </si>
  <si>
    <t>Приобретение испытательного и измерительного оборудования</t>
  </si>
  <si>
    <t>Сводка поступивших предложений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</si>
  <si>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</si>
  <si>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</si>
  <si>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</si>
  <si>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</si>
  <si>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</si>
  <si>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</si>
  <si>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</si>
  <si>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</si>
  <si>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</si>
  <si>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</si>
  <si>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Суть предложения</t>
  </si>
  <si>
    <t>Инициатор корректировки</t>
  </si>
  <si>
    <t>Директор ООО «Томские электрические сети»</t>
  </si>
  <si>
    <t>И.В. Клюев</t>
  </si>
  <si>
    <t>по корректировке  инвестиционной программы ООО "Томские электрические сети" на 2019-2023 гг. в части 2023 года</t>
  </si>
  <si>
    <t>Изменить стоимость проекта в 2023 году</t>
  </si>
  <si>
    <t>Отказ от реализации мероприятия из-за пересмотра приоритетов по реализации мероприятий</t>
  </si>
  <si>
    <t>Исключить мероприятие</t>
  </si>
  <si>
    <t>ООО "Томские электрические сети"</t>
  </si>
  <si>
    <t>Рост цен</t>
  </si>
  <si>
    <t>Рост цен. Пересмотр состава объектов и объема работ в 2023 году</t>
  </si>
  <si>
    <t xml:space="preserve">1.2.1.2
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</si>
  <si>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</si>
  <si>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ПС 35/10 кВ "Гравийна"</t>
  </si>
  <si>
    <t>I_TES017</t>
  </si>
  <si>
    <t>Новый проект</t>
  </si>
  <si>
    <t>Включить дополнительно</t>
  </si>
  <si>
    <t xml:space="preserve">1.2.3.2
</t>
  </si>
  <si>
    <t>"Установка приборов учета, класс напряжения 6 (10) кВ, всего, в том числе:"</t>
  </si>
  <si>
    <t>Установка интеллектуальных приборов учета электроэнергии напряжением 6/10кВ на границах со смежными сетевыми организациями</t>
  </si>
  <si>
    <t>I_TES018</t>
  </si>
  <si>
    <t>Приобретение машины бурильно-крановой</t>
  </si>
  <si>
    <t>I_TES015</t>
  </si>
  <si>
    <t>Приобретение автоподъемника</t>
  </si>
  <si>
    <t>I_TES016</t>
  </si>
  <si>
    <t>Стоимость в 2023 году увеличилась за счет прочих собственных средств (тарифные источники не изменяются)</t>
  </si>
  <si>
    <t>Изменить стоимость по инвестиционной программе в 2023 году</t>
  </si>
  <si>
    <t>Рост цен. Пересмотр состава объектов и объема работ в 2023 году. Мероприятие реализуется за счет прочих собственных средств</t>
  </si>
  <si>
    <t>Отказ от реализации мероприятия из-за пересмотра приоритетов реализации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</si>
</sst>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"/>
  </numFmts>
  <fonts count="35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5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54">
    <xf numFmtId="0" fontId="0" fillId="0" borderId="0" xfId="0"/>
    <xf numFmtId="0" fontId="7" fillId="0" borderId="0" xfId="0" applyFont="1" applyFill="1"/>
    <xf numFmtId="0" fontId="27" fillId="0" borderId="0" xfId="0" applyFont="1" applyFill="1" applyAlignment="1"/>
    <xf numFmtId="1" fontId="28" fillId="0" borderId="0" xfId="0" applyNumberFormat="1" applyFont="1" applyFill="1" applyBorder="1" applyAlignment="1">
      <alignment vertical="top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6" fillId="0" borderId="0" xfId="105" applyFont="1" applyAlignment="1">
      <alignment horizontal="right" vertical="center"/>
    </xf>
    <xf numFmtId="0" fontId="7" fillId="0" borderId="0" xfId="0" applyFont="1"/>
    <xf numFmtId="0" fontId="26" fillId="0" borderId="0" xfId="105" applyFont="1" applyAlignment="1">
      <alignment horizontal="right"/>
    </xf>
    <xf numFmtId="0" fontId="29" fillId="0" borderId="0" xfId="244" applyFont="1" applyAlignment="1">
      <alignment vertical="center"/>
    </xf>
    <xf numFmtId="0" fontId="30" fillId="0" borderId="0" xfId="244" applyFont="1" applyAlignment="1">
      <alignment vertical="top"/>
    </xf>
    <xf numFmtId="0" fontId="28" fillId="0" borderId="0" xfId="0" applyFont="1" applyFill="1"/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31" fillId="0" borderId="11" xfId="240" applyNumberFormat="1" applyFont="1" applyFill="1" applyBorder="1" applyAlignment="1">
      <alignment horizontal="center"/>
    </xf>
    <xf numFmtId="0" fontId="30" fillId="0" borderId="11" xfId="244" applyFont="1" applyFill="1" applyBorder="1" applyAlignment="1">
      <alignment horizontal="center" vertical="center"/>
    </xf>
    <xf numFmtId="167" fontId="33" fillId="0" borderId="11" xfId="244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49" fontId="32" fillId="0" borderId="11" xfId="240" applyNumberFormat="1" applyFont="1" applyFill="1" applyBorder="1" applyAlignment="1">
      <alignment horizontal="center"/>
    </xf>
    <xf numFmtId="167" fontId="7" fillId="0" borderId="11" xfId="0" applyNumberFormat="1" applyFont="1" applyFill="1" applyBorder="1" applyAlignment="1">
      <alignment horizontal="center" vertical="center"/>
    </xf>
    <xf numFmtId="167" fontId="30" fillId="0" borderId="11" xfId="244" applyNumberFormat="1" applyFont="1" applyFill="1" applyBorder="1" applyAlignment="1">
      <alignment horizontal="center" vertical="center"/>
    </xf>
    <xf numFmtId="167" fontId="28" fillId="0" borderId="11" xfId="0" applyNumberFormat="1" applyFont="1" applyFill="1" applyBorder="1" applyAlignment="1">
      <alignment horizontal="center" vertical="center"/>
    </xf>
    <xf numFmtId="49" fontId="30" fillId="0" borderId="11" xfId="244" applyNumberFormat="1" applyFont="1" applyFill="1" applyBorder="1" applyAlignment="1">
      <alignment horizontal="center" vertical="center" wrapText="1"/>
    </xf>
    <xf numFmtId="49" fontId="30" fillId="0" borderId="11" xfId="244" applyNumberFormat="1" applyFont="1" applyFill="1" applyBorder="1" applyAlignment="1">
      <alignment horizontal="left" vertical="center" wrapText="1"/>
    </xf>
    <xf numFmtId="0" fontId="30" fillId="0" borderId="11" xfId="244" applyFont="1" applyFill="1" applyBorder="1" applyAlignment="1">
      <alignment horizontal="left" vertical="center" wrapText="1"/>
    </xf>
    <xf numFmtId="1" fontId="28" fillId="0" borderId="0" xfId="0" applyNumberFormat="1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30" fillId="0" borderId="11" xfId="244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31" fillId="0" borderId="11" xfId="240" applyFont="1" applyFill="1" applyBorder="1" applyAlignment="1">
      <alignment horizontal="left" vertical="center" wrapText="1"/>
    </xf>
    <xf numFmtId="0" fontId="32" fillId="0" borderId="11" xfId="240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9" fillId="0" borderId="0" xfId="244" applyFont="1" applyAlignment="1">
      <alignment horizontal="center" vertical="center"/>
    </xf>
    <xf numFmtId="0" fontId="30" fillId="0" borderId="0" xfId="244" applyFont="1" applyAlignment="1">
      <alignment horizontal="center" vertical="top"/>
    </xf>
    <xf numFmtId="1" fontId="28" fillId="0" borderId="10" xfId="0" applyNumberFormat="1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</cellXfs>
  <cellStyles count="344">
    <cellStyle name="20% - Акцент1" xfId="1" builtinId="30" customBuiltin="1"/>
    <cellStyle name="20% — акцент1" xfId="2"/>
    <cellStyle name="20% - Акцент1 2" xfId="3"/>
    <cellStyle name="20% — акцент1_Приложения к приказу №380 (проект ипр 19-21гг) (6) заполнение" xfId="4"/>
    <cellStyle name="20% - Акцент2" xfId="5" builtinId="34" customBuiltin="1"/>
    <cellStyle name="20% — акцент2" xfId="6"/>
    <cellStyle name="20% - Акцент2 2" xfId="7"/>
    <cellStyle name="20% — акцент2_Приложения к приказу №380 (проект ипр 19-21гг) (6) заполнение" xfId="8"/>
    <cellStyle name="20% - Акцент3" xfId="9" builtinId="38" customBuiltin="1"/>
    <cellStyle name="20% — акцент3" xfId="10"/>
    <cellStyle name="20% - Акцент3 2" xfId="11"/>
    <cellStyle name="20% — акцент3_Приложения к приказу №380 (проект ипр 19-21гг) (6) заполнение" xfId="12"/>
    <cellStyle name="20% - Акцент4" xfId="13" builtinId="42" customBuiltin="1"/>
    <cellStyle name="20% — акцент4" xfId="14"/>
    <cellStyle name="20% - Акцент4 2" xfId="15"/>
    <cellStyle name="20% — акцент4_Приложения к приказу №380 (проект ипр 19-21гг) (6) заполнение" xfId="16"/>
    <cellStyle name="20% - Акцент5" xfId="17" builtinId="46" customBuiltin="1"/>
    <cellStyle name="20% — акцент5" xfId="18"/>
    <cellStyle name="20% - Акцент5 2" xfId="19"/>
    <cellStyle name="20% — акцент5_Приложения к приказу №380 (проект ипр 19-21гг) (6) заполнение" xfId="20"/>
    <cellStyle name="20% - Акцент6" xfId="21" builtinId="50" customBuiltin="1"/>
    <cellStyle name="20% — акцент6" xfId="22"/>
    <cellStyle name="20% - Акцент6 2" xfId="23"/>
    <cellStyle name="20% — акцент6_Приложения к приказу №380 (проект ипр 19-21гг) (6) заполнение" xfId="24"/>
    <cellStyle name="40% - Акцент1" xfId="25" builtinId="31" customBuiltin="1"/>
    <cellStyle name="40% — акцент1" xfId="26"/>
    <cellStyle name="40% - Акцент1 2" xfId="27"/>
    <cellStyle name="40% — акцент1_Приложения к приказу №380 (проект ипр 19-21гг) (6) заполнение" xfId="28"/>
    <cellStyle name="40% - Акцент2" xfId="29" builtinId="35" customBuiltin="1"/>
    <cellStyle name="40% — акцент2" xfId="30"/>
    <cellStyle name="40% - Акцент2 2" xfId="31"/>
    <cellStyle name="40% — акцент2_Приложения к приказу №380 (проект ипр 19-21гг) (6) заполнение" xfId="32"/>
    <cellStyle name="40% - Акцент3" xfId="33" builtinId="39" customBuiltin="1"/>
    <cellStyle name="40% — акцент3" xfId="34"/>
    <cellStyle name="40% - Акцент3 2" xfId="35"/>
    <cellStyle name="40% — акцент3_Приложения к приказу №380 (проект ипр 19-21гг) (6) заполнение" xfId="36"/>
    <cellStyle name="40% - Акцент4" xfId="37" builtinId="43" customBuiltin="1"/>
    <cellStyle name="40% — акцент4" xfId="38"/>
    <cellStyle name="40% - Акцент4 2" xfId="39"/>
    <cellStyle name="40% — акцент4_Приложения к приказу №380 (проект ипр 19-21гг) (6) заполнение" xfId="40"/>
    <cellStyle name="40% - Акцент5" xfId="41" builtinId="47" customBuiltin="1"/>
    <cellStyle name="40% — акцент5" xfId="42"/>
    <cellStyle name="40% - Акцент5 2" xfId="43"/>
    <cellStyle name="40% — акцент5_Приложения к приказу №380 (проект ипр 19-21гг) (6) заполнение" xfId="44"/>
    <cellStyle name="40% - Акцент6" xfId="45" builtinId="51" customBuiltin="1"/>
    <cellStyle name="40% — акцент6" xfId="46"/>
    <cellStyle name="40% - Акцент6 2" xfId="47"/>
    <cellStyle name="40% — акцент6_Приложения к приказу №380 (проект ипр 19-21гг) (6) заполнение" xfId="48"/>
    <cellStyle name="60% - Акцент1" xfId="49" builtinId="32" customBuiltin="1"/>
    <cellStyle name="60% — акцент1" xfId="50"/>
    <cellStyle name="60% - Акцент1 2" xfId="51"/>
    <cellStyle name="60% - Акцент2" xfId="52" builtinId="36" customBuiltin="1"/>
    <cellStyle name="60% — акцент2" xfId="53"/>
    <cellStyle name="60% - Акцент2 2" xfId="54"/>
    <cellStyle name="60% - Акцент3" xfId="55" builtinId="40" customBuiltin="1"/>
    <cellStyle name="60% — акцент3" xfId="56"/>
    <cellStyle name="60% - Акцент3 2" xfId="57"/>
    <cellStyle name="60% - Акцент4" xfId="58" builtinId="44" customBuiltin="1"/>
    <cellStyle name="60% — акцент4" xfId="59"/>
    <cellStyle name="60% - Акцент4 2" xfId="60"/>
    <cellStyle name="60% - Акцент5" xfId="61" builtinId="48" customBuiltin="1"/>
    <cellStyle name="60% — акцент5" xfId="62"/>
    <cellStyle name="60% - Акцент5 2" xfId="63"/>
    <cellStyle name="60% - Акцент6" xfId="64" builtinId="52" customBuiltin="1"/>
    <cellStyle name="60% — акцент6" xfId="65"/>
    <cellStyle name="60% - Акцент6 2" xfId="66"/>
    <cellStyle name="Normal 2" xfId="67"/>
    <cellStyle name="Акцент1" xfId="68" builtinId="29" customBuiltin="1"/>
    <cellStyle name="Акцент1 2" xfId="69"/>
    <cellStyle name="Акцент2" xfId="70" builtinId="33" customBuiltin="1"/>
    <cellStyle name="Акцент2 2" xfId="71"/>
    <cellStyle name="Акцент3" xfId="72" builtinId="37" customBuiltin="1"/>
    <cellStyle name="Акцент3 2" xfId="73"/>
    <cellStyle name="Акцент4" xfId="74" builtinId="41" customBuiltin="1"/>
    <cellStyle name="Акцент4 2" xfId="75"/>
    <cellStyle name="Акцент5" xfId="76" builtinId="45" customBuiltin="1"/>
    <cellStyle name="Акцент5 2" xfId="77"/>
    <cellStyle name="Акцент6" xfId="78" builtinId="49" customBuiltin="1"/>
    <cellStyle name="Акцент6 2" xfId="79"/>
    <cellStyle name="Ввод " xfId="80" builtinId="20" customBuiltin="1"/>
    <cellStyle name="Ввод  2" xfId="81"/>
    <cellStyle name="Вывод" xfId="82" builtinId="21" customBuiltin="1"/>
    <cellStyle name="Вывод 2" xfId="83"/>
    <cellStyle name="Вычисление" xfId="84" builtinId="22" customBuiltin="1"/>
    <cellStyle name="Вычисление 2" xfId="85"/>
    <cellStyle name="Заголовок 1" xfId="86" builtinId="16" customBuiltin="1"/>
    <cellStyle name="Заголовок 1 2" xfId="87"/>
    <cellStyle name="Заголовок 2" xfId="88" builtinId="17" customBuiltin="1"/>
    <cellStyle name="Заголовок 2 2" xfId="89"/>
    <cellStyle name="Заголовок 3" xfId="90" builtinId="18" customBuiltin="1"/>
    <cellStyle name="Заголовок 3 2" xfId="91"/>
    <cellStyle name="Заголовок 4" xfId="92" builtinId="19" customBuiltin="1"/>
    <cellStyle name="Заголовок 4 2" xfId="93"/>
    <cellStyle name="Итог" xfId="94" builtinId="25" customBuiltin="1"/>
    <cellStyle name="Итог 2" xfId="95"/>
    <cellStyle name="Контрольная ячейка" xfId="96" builtinId="23" customBuiltin="1"/>
    <cellStyle name="Контрольная ячейка 2" xfId="97"/>
    <cellStyle name="Название" xfId="98" builtinId="15" customBuiltin="1"/>
    <cellStyle name="Название 2" xfId="99"/>
    <cellStyle name="Нейтральный" xfId="100" builtinId="28" customBuiltin="1"/>
    <cellStyle name="Нейтральный 2" xfId="101"/>
    <cellStyle name="Обычный" xfId="0" builtinId="0"/>
    <cellStyle name="Обычный 12 2" xfId="102"/>
    <cellStyle name="Обычный 2" xfId="103"/>
    <cellStyle name="Обычный 2 26 2" xfId="104"/>
    <cellStyle name="Обычный 3" xfId="105"/>
    <cellStyle name="Обычный 3 2" xfId="106"/>
    <cellStyle name="Обычный 3 2 2 2" xfId="107"/>
    <cellStyle name="Обычный 3 21" xfId="108"/>
    <cellStyle name="Обычный 4" xfId="109"/>
    <cellStyle name="Обычный 4 2" xfId="110"/>
    <cellStyle name="Обычный 5" xfId="111"/>
    <cellStyle name="Обычный 6" xfId="112"/>
    <cellStyle name="Обычный 6 2" xfId="113"/>
    <cellStyle name="Обычный 6 2 2" xfId="114"/>
    <cellStyle name="Обычный 6 2 2 2" xfId="115"/>
    <cellStyle name="Обычный 6 2 2 2 2" xfId="116"/>
    <cellStyle name="Обычный 6 2 2 2 2 2" xfId="117"/>
    <cellStyle name="Обычный 6 2 2 2 2 2 2" xfId="118"/>
    <cellStyle name="Обычный 6 2 2 2 2 2 3" xfId="119"/>
    <cellStyle name="Обычный 6 2 2 2 2 2_12" xfId="120"/>
    <cellStyle name="Обычный 6 2 2 2 2 3" xfId="121"/>
    <cellStyle name="Обычный 6 2 2 2 2 4" xfId="122"/>
    <cellStyle name="Обычный 6 2 2 2 2_12" xfId="123"/>
    <cellStyle name="Обычный 6 2 2 2 3" xfId="124"/>
    <cellStyle name="Обычный 6 2 2 2 3 2" xfId="125"/>
    <cellStyle name="Обычный 6 2 2 2 3 3" xfId="126"/>
    <cellStyle name="Обычный 6 2 2 2 3_12" xfId="127"/>
    <cellStyle name="Обычный 6 2 2 2 4" xfId="128"/>
    <cellStyle name="Обычный 6 2 2 2 5" xfId="129"/>
    <cellStyle name="Обычный 6 2 2 2_12" xfId="130"/>
    <cellStyle name="Обычный 6 2 2 3" xfId="131"/>
    <cellStyle name="Обычный 6 2 2 3 2" xfId="132"/>
    <cellStyle name="Обычный 6 2 2 3 2 2" xfId="133"/>
    <cellStyle name="Обычный 6 2 2 3 2 3" xfId="134"/>
    <cellStyle name="Обычный 6 2 2 3 2_12" xfId="135"/>
    <cellStyle name="Обычный 6 2 2 3 3" xfId="136"/>
    <cellStyle name="Обычный 6 2 2 3 4" xfId="137"/>
    <cellStyle name="Обычный 6 2 2 3_12" xfId="138"/>
    <cellStyle name="Обычный 6 2 2 4" xfId="139"/>
    <cellStyle name="Обычный 6 2 2 4 2" xfId="140"/>
    <cellStyle name="Обычный 6 2 2 4 2 2" xfId="141"/>
    <cellStyle name="Обычный 6 2 2 4 2 3" xfId="142"/>
    <cellStyle name="Обычный 6 2 2 4 2_12" xfId="143"/>
    <cellStyle name="Обычный 6 2 2 4 3" xfId="144"/>
    <cellStyle name="Обычный 6 2 2 4 4" xfId="145"/>
    <cellStyle name="Обычный 6 2 2 4_12" xfId="146"/>
    <cellStyle name="Обычный 6 2 2 5" xfId="147"/>
    <cellStyle name="Обычный 6 2 2 5 2" xfId="148"/>
    <cellStyle name="Обычный 6 2 2 5 3" xfId="149"/>
    <cellStyle name="Обычный 6 2 2 5_12" xfId="150"/>
    <cellStyle name="Обычный 6 2 2 6" xfId="151"/>
    <cellStyle name="Обычный 6 2 2 7" xfId="152"/>
    <cellStyle name="Обычный 6 2 2 8" xfId="153"/>
    <cellStyle name="Обычный 6 2 2_12" xfId="154"/>
    <cellStyle name="Обычный 6 2 3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3" xfId="160"/>
    <cellStyle name="Обычный 6 2 3 2 2 2_12" xfId="161"/>
    <cellStyle name="Обычный 6 2 3 2 2 3" xfId="162"/>
    <cellStyle name="Обычный 6 2 3 2 2 4" xfId="163"/>
    <cellStyle name="Обычный 6 2 3 2 2_12" xfId="164"/>
    <cellStyle name="Обычный 6 2 3 2 3" xfId="165"/>
    <cellStyle name="Обычный 6 2 3 2 3 2" xfId="166"/>
    <cellStyle name="Обычный 6 2 3 2 3 3" xfId="167"/>
    <cellStyle name="Обычный 6 2 3 2 3_12" xfId="168"/>
    <cellStyle name="Обычный 6 2 3 2 4" xfId="169"/>
    <cellStyle name="Обычный 6 2 3 2 5" xfId="170"/>
    <cellStyle name="Обычный 6 2 3 2_12" xfId="171"/>
    <cellStyle name="Обычный 6 2 3 3" xfId="172"/>
    <cellStyle name="Обычный 6 2 3 3 2" xfId="173"/>
    <cellStyle name="Обычный 6 2 3 3 2 2" xfId="174"/>
    <cellStyle name="Обычный 6 2 3 3 2 3" xfId="175"/>
    <cellStyle name="Обычный 6 2 3 3 2_12" xfId="176"/>
    <cellStyle name="Обычный 6 2 3 3 3" xfId="177"/>
    <cellStyle name="Обычный 6 2 3 3 4" xfId="178"/>
    <cellStyle name="Обычный 6 2 3 3_12" xfId="179"/>
    <cellStyle name="Обычный 6 2 3 4" xfId="180"/>
    <cellStyle name="Обычный 6 2 3 4 2" xfId="181"/>
    <cellStyle name="Обычный 6 2 3 4 2 2" xfId="182"/>
    <cellStyle name="Обычный 6 2 3 4 2 3" xfId="183"/>
    <cellStyle name="Обычный 6 2 3 4 2_12" xfId="184"/>
    <cellStyle name="Обычный 6 2 3 4 3" xfId="185"/>
    <cellStyle name="Обычный 6 2 3 4 4" xfId="186"/>
    <cellStyle name="Обычный 6 2 3 4_12" xfId="187"/>
    <cellStyle name="Обычный 6 2 3 5" xfId="188"/>
    <cellStyle name="Обычный 6 2 3 5 2" xfId="189"/>
    <cellStyle name="Обычный 6 2 3 5 3" xfId="190"/>
    <cellStyle name="Обычный 6 2 3 5_12" xfId="191"/>
    <cellStyle name="Обычный 6 2 3 6" xfId="192"/>
    <cellStyle name="Обычный 6 2 3 7" xfId="193"/>
    <cellStyle name="Обычный 6 2 3 8" xfId="194"/>
    <cellStyle name="Обычный 6 2 3_12" xfId="195"/>
    <cellStyle name="Обычный 6 2 4" xfId="196"/>
    <cellStyle name="Обычный 6 2 4 2" xfId="197"/>
    <cellStyle name="Обычный 6 2 4 2 2" xfId="198"/>
    <cellStyle name="Обычный 6 2 4 2 3" xfId="199"/>
    <cellStyle name="Обычный 6 2 4 2_12" xfId="200"/>
    <cellStyle name="Обычный 6 2 4 3" xfId="201"/>
    <cellStyle name="Обычный 6 2 4 4" xfId="202"/>
    <cellStyle name="Обычный 6 2 4_12" xfId="203"/>
    <cellStyle name="Обычный 6 2 5" xfId="204"/>
    <cellStyle name="Обычный 6 2 5 2" xfId="205"/>
    <cellStyle name="Обычный 6 2 5 2 2" xfId="206"/>
    <cellStyle name="Обычный 6 2 5 2 3" xfId="207"/>
    <cellStyle name="Обычный 6 2 5 2_12" xfId="208"/>
    <cellStyle name="Обычный 6 2 5 3" xfId="209"/>
    <cellStyle name="Обычный 6 2 5 4" xfId="210"/>
    <cellStyle name="Обычный 6 2 5_12" xfId="211"/>
    <cellStyle name="Обычный 6 2 6" xfId="212"/>
    <cellStyle name="Обычный 6 2 6 2" xfId="213"/>
    <cellStyle name="Обычный 6 2 6 3" xfId="214"/>
    <cellStyle name="Обычный 6 2 6_12" xfId="215"/>
    <cellStyle name="Обычный 6 2 7" xfId="216"/>
    <cellStyle name="Обычный 6 2 8" xfId="217"/>
    <cellStyle name="Обычный 6 2 9" xfId="218"/>
    <cellStyle name="Обычный 6 2_12" xfId="219"/>
    <cellStyle name="Обычный 6 3" xfId="220"/>
    <cellStyle name="Обычный 6 3 2" xfId="221"/>
    <cellStyle name="Обычный 6 3 2 2" xfId="222"/>
    <cellStyle name="Обычный 6 3 2 3" xfId="223"/>
    <cellStyle name="Обычный 6 3 2_12" xfId="224"/>
    <cellStyle name="Обычный 6 3 3" xfId="225"/>
    <cellStyle name="Обычный 6 3 4" xfId="226"/>
    <cellStyle name="Обычный 6 3_12" xfId="227"/>
    <cellStyle name="Обычный 6 4" xfId="228"/>
    <cellStyle name="Обычный 6 4 2" xfId="229"/>
    <cellStyle name="Обычный 6 4 2 2" xfId="230"/>
    <cellStyle name="Обычный 6 4 2 3" xfId="231"/>
    <cellStyle name="Обычный 6 4 2_12" xfId="232"/>
    <cellStyle name="Обычный 6 4 3" xfId="233"/>
    <cellStyle name="Обычный 6 4 4" xfId="234"/>
    <cellStyle name="Обычный 6 4_12" xfId="235"/>
    <cellStyle name="Обычный 6 5" xfId="236"/>
    <cellStyle name="Обычный 6 5 2" xfId="237"/>
    <cellStyle name="Обычный 6 5 3" xfId="238"/>
    <cellStyle name="Обычный 6 5_12" xfId="239"/>
    <cellStyle name="Обычный 6 6" xfId="240"/>
    <cellStyle name="Обычный 6 7" xfId="241"/>
    <cellStyle name="Обычный 6 8" xfId="242"/>
    <cellStyle name="Обычный 6_12" xfId="243"/>
    <cellStyle name="Обычный 7" xfId="244"/>
    <cellStyle name="Обычный 7 2" xfId="245"/>
    <cellStyle name="Обычный 7 2 2" xfId="246"/>
    <cellStyle name="Обычный 7 2 2 2" xfId="247"/>
    <cellStyle name="Обычный 7 2 2 2 2" xfId="248"/>
    <cellStyle name="Обычный 7 2 2 2 3" xfId="249"/>
    <cellStyle name="Обычный 7 2 2 2_12" xfId="250"/>
    <cellStyle name="Обычный 7 2 2 3" xfId="251"/>
    <cellStyle name="Обычный 7 2 2 4" xfId="252"/>
    <cellStyle name="Обычный 7 2 2_12" xfId="253"/>
    <cellStyle name="Обычный 7 2 3" xfId="254"/>
    <cellStyle name="Обычный 7 2 3 2" xfId="255"/>
    <cellStyle name="Обычный 7 2 3 2 2" xfId="256"/>
    <cellStyle name="Обычный 7 2 3 2 3" xfId="257"/>
    <cellStyle name="Обычный 7 2 3 2_12" xfId="258"/>
    <cellStyle name="Обычный 7 2 3 3" xfId="259"/>
    <cellStyle name="Обычный 7 2 3 4" xfId="260"/>
    <cellStyle name="Обычный 7 2 3_12" xfId="261"/>
    <cellStyle name="Обычный 7 2 4" xfId="262"/>
    <cellStyle name="Обычный 7 2 4 2" xfId="263"/>
    <cellStyle name="Обычный 7 2 4 3" xfId="264"/>
    <cellStyle name="Обычный 7 2 4_12" xfId="265"/>
    <cellStyle name="Обычный 7 2 5" xfId="266"/>
    <cellStyle name="Обычный 7 2 6" xfId="267"/>
    <cellStyle name="Обычный 7 2 7" xfId="268"/>
    <cellStyle name="Обычный 7 2_12" xfId="269"/>
    <cellStyle name="Обычный 8" xfId="270"/>
    <cellStyle name="Обычный 9" xfId="271"/>
    <cellStyle name="Обычный 9 2" xfId="272"/>
    <cellStyle name="Обычный 9 2 2" xfId="273"/>
    <cellStyle name="Обычный 9 2 2 2" xfId="274"/>
    <cellStyle name="Обычный 9 2 2 3" xfId="275"/>
    <cellStyle name="Обычный 9 2 2 4" xfId="276"/>
    <cellStyle name="Обычный 9 2 2_12" xfId="277"/>
    <cellStyle name="Обычный 9 2 3" xfId="278"/>
    <cellStyle name="Обычный 9 2 4" xfId="279"/>
    <cellStyle name="Обычный 9 2_12" xfId="280"/>
    <cellStyle name="Обычный 9 3" xfId="281"/>
    <cellStyle name="Обычный 9 3 2" xfId="282"/>
    <cellStyle name="Обычный 9 3 3" xfId="283"/>
    <cellStyle name="Обычный 9 3 4" xfId="284"/>
    <cellStyle name="Обычный 9 3_12" xfId="285"/>
    <cellStyle name="Обычный 9 4" xfId="286"/>
    <cellStyle name="Обычный 9 5" xfId="287"/>
    <cellStyle name="Обычный 9_12" xfId="288"/>
    <cellStyle name="Плохой" xfId="289" builtinId="27" customBuiltin="1"/>
    <cellStyle name="Плохой 2" xfId="290"/>
    <cellStyle name="Пояснение" xfId="291" builtinId="53" customBuiltin="1"/>
    <cellStyle name="Пояснение 2" xfId="292"/>
    <cellStyle name="Примечание" xfId="293" builtinId="10" customBuiltin="1"/>
    <cellStyle name="Примечание 2" xfId="294"/>
    <cellStyle name="Процентный 2" xfId="295"/>
    <cellStyle name="Процентный 3" xfId="296"/>
    <cellStyle name="Связанная ячейка" xfId="297" builtinId="24" customBuiltin="1"/>
    <cellStyle name="Связанная ячейка 2" xfId="298"/>
    <cellStyle name="Стиль 1" xfId="299"/>
    <cellStyle name="Текст предупреждения" xfId="300" builtinId="11" customBuiltin="1"/>
    <cellStyle name="Текст предупреждения 2" xfId="301"/>
    <cellStyle name="Финансовый 2" xfId="302"/>
    <cellStyle name="Финансовый 2 2" xfId="303"/>
    <cellStyle name="Финансовый 2 2 2" xfId="304"/>
    <cellStyle name="Финансовый 2 2 2 2" xfId="305"/>
    <cellStyle name="Финансовый 2 2 2 2 2" xfId="306"/>
    <cellStyle name="Финансовый 2 2 2 3" xfId="307"/>
    <cellStyle name="Финансовый 2 2 3" xfId="308"/>
    <cellStyle name="Финансовый 2 2 4" xfId="309"/>
    <cellStyle name="Финансовый 2 3" xfId="310"/>
    <cellStyle name="Финансовый 2 3 2" xfId="311"/>
    <cellStyle name="Финансовый 2 3 2 2" xfId="312"/>
    <cellStyle name="Финансовый 2 3 2 3" xfId="313"/>
    <cellStyle name="Финансовый 2 3 3" xfId="314"/>
    <cellStyle name="Финансовый 2 3 4" xfId="315"/>
    <cellStyle name="Финансовый 2 4" xfId="316"/>
    <cellStyle name="Финансовый 2 4 2" xfId="317"/>
    <cellStyle name="Финансовый 2 4 3" xfId="318"/>
    <cellStyle name="Финансовый 2 5" xfId="319"/>
    <cellStyle name="Финансовый 2 6" xfId="320"/>
    <cellStyle name="Финансовый 2 7" xfId="321"/>
    <cellStyle name="Финансовый 3" xfId="322"/>
    <cellStyle name="Финансовый 3 2" xfId="323"/>
    <cellStyle name="Финансовый 3 2 2" xfId="324"/>
    <cellStyle name="Финансовый 3 2 2 2" xfId="325"/>
    <cellStyle name="Финансовый 3 2 2 3" xfId="326"/>
    <cellStyle name="Финансовый 3 2 3" xfId="327"/>
    <cellStyle name="Финансовый 3 2 4" xfId="328"/>
    <cellStyle name="Финансовый 3 3" xfId="329"/>
    <cellStyle name="Финансовый 3 3 2" xfId="330"/>
    <cellStyle name="Финансовый 3 3 2 2" xfId="331"/>
    <cellStyle name="Финансовый 3 3 2 3" xfId="332"/>
    <cellStyle name="Финансовый 3 3 3" xfId="333"/>
    <cellStyle name="Финансовый 3 3 4" xfId="334"/>
    <cellStyle name="Финансовый 3 4" xfId="335"/>
    <cellStyle name="Финансовый 3 4 2" xfId="336"/>
    <cellStyle name="Финансовый 3 4 3" xfId="337"/>
    <cellStyle name="Финансовый 3 5" xfId="338"/>
    <cellStyle name="Финансовый 3 6" xfId="339"/>
    <cellStyle name="Финансовый 3 7" xfId="340"/>
    <cellStyle name="Финансовый 3_12" xfId="341"/>
    <cellStyle name="Хороший" xfId="342" builtinId="26" customBuiltin="1"/>
    <cellStyle name="Хороший 2" xfId="343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3"/>
  <sheetViews>
    <sheetView tabSelected="1" view="pageBreakPreview" zoomScale="60" zoomScaleNormal="70" workbookViewId="0">
      <pane xSplit="3" ySplit="12" topLeftCell="D13" activePane="bottomRight" state="frozen"/>
      <selection pane="topRight" activeCell="D1" sqref="D1"/>
      <selection pane="bottomLeft" activeCell="A18" sqref="A18"/>
      <selection pane="bottomRight" activeCell="B13" sqref="B13"/>
    </sheetView>
  </sheetViews>
  <sheetFormatPr defaultRowHeight="15.75" x14ac:dyDescent="0.25"/>
  <cols>
    <col min="1" max="1" width="10.875" style="7" customWidth="1"/>
    <col min="2" max="2" width="36.875" style="41" bestFit="1" customWidth="1"/>
    <col min="3" max="3" width="13.25" style="7" customWidth="1"/>
    <col min="4" max="4" width="7.25" style="7" customWidth="1"/>
    <col min="5" max="5" width="13" style="7" customWidth="1"/>
    <col min="6" max="6" width="14.375" style="7" customWidth="1"/>
    <col min="7" max="14" width="16.625" style="1" hidden="1" customWidth="1"/>
    <col min="15" max="18" width="16.625" style="1" customWidth="1"/>
    <col min="19" max="19" width="23.25" style="1" customWidth="1"/>
    <col min="20" max="20" width="19.75" style="1" customWidth="1"/>
    <col min="21" max="21" width="22.625" style="1" customWidth="1"/>
    <col min="22" max="22" width="7.25" style="1" customWidth="1"/>
    <col min="23" max="23" width="9.875" style="1" customWidth="1"/>
    <col min="24" max="24" width="7.125" style="1" customWidth="1"/>
    <col min="25" max="25" width="6" style="7" customWidth="1"/>
    <col min="26" max="26" width="8.375" style="7" customWidth="1"/>
    <col min="27" max="27" width="5.625" style="7" customWidth="1"/>
    <col min="28" max="28" width="7.375" style="7" customWidth="1"/>
    <col min="29" max="29" width="10" style="7" customWidth="1"/>
    <col min="30" max="30" width="7.875" style="7" customWidth="1"/>
    <col min="31" max="31" width="6.75" style="7" customWidth="1"/>
    <col min="32" max="32" width="9" style="7" customWidth="1"/>
    <col min="33" max="33" width="6.125" style="7" customWidth="1"/>
    <col min="34" max="34" width="6.75" style="7" customWidth="1"/>
    <col min="35" max="35" width="9.375" style="7" customWidth="1"/>
    <col min="36" max="36" width="7.375" style="7" customWidth="1"/>
    <col min="37" max="43" width="7.25" style="7" customWidth="1"/>
    <col min="44" max="44" width="8.625" style="7" customWidth="1"/>
    <col min="45" max="45" width="6.125" style="7" customWidth="1"/>
    <col min="46" max="46" width="6.875" style="7" customWidth="1"/>
    <col min="47" max="47" width="9.625" style="7" customWidth="1"/>
    <col min="48" max="48" width="6.75" style="7" customWidth="1"/>
    <col min="49" max="49" width="7.75" style="7" customWidth="1"/>
    <col min="50" max="16384" width="9" style="7"/>
  </cols>
  <sheetData>
    <row r="1" spans="1:54" ht="18.75" x14ac:dyDescent="0.25">
      <c r="A1" s="1"/>
      <c r="B1" s="36"/>
      <c r="C1" s="1"/>
      <c r="D1" s="1"/>
      <c r="E1" s="1"/>
      <c r="F1" s="1"/>
      <c r="U1" s="6"/>
      <c r="Y1" s="1"/>
      <c r="Z1" s="1"/>
      <c r="AA1" s="1"/>
      <c r="AB1" s="1"/>
      <c r="AC1" s="1"/>
    </row>
    <row r="2" spans="1:54" ht="18.75" x14ac:dyDescent="0.3">
      <c r="A2" s="1"/>
      <c r="B2" s="36"/>
      <c r="C2" s="1"/>
      <c r="D2" s="1"/>
      <c r="E2" s="1"/>
      <c r="F2" s="1"/>
      <c r="U2" s="8"/>
      <c r="Y2" s="1"/>
      <c r="Z2" s="1"/>
      <c r="AA2" s="1"/>
      <c r="AB2" s="1"/>
      <c r="AC2" s="1"/>
    </row>
    <row r="3" spans="1:54" ht="18.75" x14ac:dyDescent="0.3">
      <c r="A3" s="1"/>
      <c r="B3" s="36"/>
      <c r="C3" s="1"/>
      <c r="D3" s="1"/>
      <c r="E3" s="1"/>
      <c r="F3" s="1"/>
      <c r="R3" s="7"/>
      <c r="S3" s="7"/>
      <c r="T3" s="7"/>
      <c r="U3" s="8"/>
      <c r="Y3" s="1"/>
      <c r="Z3" s="1"/>
      <c r="AA3" s="1"/>
      <c r="AB3" s="1"/>
      <c r="AC3" s="1"/>
    </row>
    <row r="4" spans="1:54" ht="18.75" x14ac:dyDescent="0.3">
      <c r="A4" s="47" t="s">
        <v>71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Y4" s="1"/>
      <c r="Z4" s="1"/>
      <c r="AA4" s="1"/>
      <c r="AB4" s="1"/>
      <c r="AC4" s="1"/>
    </row>
    <row r="5" spans="1:54" ht="11.25" customHeight="1" x14ac:dyDescent="0.3">
      <c r="A5" s="4"/>
      <c r="B5" s="37"/>
      <c r="C5" s="4"/>
      <c r="D5" s="4"/>
      <c r="E5" s="4"/>
      <c r="F5" s="4"/>
      <c r="G5" s="4"/>
      <c r="H5" s="4"/>
      <c r="I5" s="12"/>
      <c r="J5" s="12"/>
      <c r="K5" s="4"/>
      <c r="L5" s="4"/>
      <c r="M5" s="4"/>
      <c r="N5" s="4"/>
      <c r="O5" s="5"/>
      <c r="P5" s="5"/>
      <c r="Q5" s="4"/>
      <c r="R5" s="4"/>
      <c r="S5" s="13"/>
      <c r="T5" s="13"/>
      <c r="U5" s="4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4" ht="18.75" x14ac:dyDescent="0.25">
      <c r="A6" s="48" t="s">
        <v>86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54" ht="15.75" customHeight="1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28"/>
      <c r="T8" s="28"/>
      <c r="U8" s="3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54" ht="72.75" customHeight="1" x14ac:dyDescent="0.25">
      <c r="A9" s="46" t="s">
        <v>0</v>
      </c>
      <c r="B9" s="46" t="s">
        <v>1</v>
      </c>
      <c r="C9" s="46" t="s">
        <v>2</v>
      </c>
      <c r="D9" s="51" t="s">
        <v>3</v>
      </c>
      <c r="E9" s="46" t="s">
        <v>4</v>
      </c>
      <c r="F9" s="46"/>
      <c r="G9" s="52" t="s">
        <v>5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42" t="s">
        <v>6</v>
      </c>
      <c r="T9" s="42" t="s">
        <v>82</v>
      </c>
      <c r="U9" s="42" t="s">
        <v>83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54" ht="66" customHeight="1" x14ac:dyDescent="0.25">
      <c r="A10" s="46"/>
      <c r="B10" s="46"/>
      <c r="C10" s="46"/>
      <c r="D10" s="51"/>
      <c r="E10" s="46"/>
      <c r="F10" s="46"/>
      <c r="G10" s="45" t="s">
        <v>28</v>
      </c>
      <c r="H10" s="45"/>
      <c r="I10" s="45" t="s">
        <v>24</v>
      </c>
      <c r="J10" s="45"/>
      <c r="K10" s="45" t="s">
        <v>25</v>
      </c>
      <c r="L10" s="45"/>
      <c r="M10" s="45" t="s">
        <v>26</v>
      </c>
      <c r="N10" s="45"/>
      <c r="O10" s="45" t="s">
        <v>27</v>
      </c>
      <c r="P10" s="45"/>
      <c r="Q10" s="46" t="s">
        <v>8</v>
      </c>
      <c r="R10" s="46" t="s">
        <v>9</v>
      </c>
      <c r="S10" s="43"/>
      <c r="T10" s="43"/>
      <c r="U10" s="43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54" ht="135" customHeight="1" x14ac:dyDescent="0.25">
      <c r="A11" s="46"/>
      <c r="B11" s="46"/>
      <c r="C11" s="46"/>
      <c r="D11" s="51"/>
      <c r="E11" s="14" t="s">
        <v>7</v>
      </c>
      <c r="F11" s="14" t="s">
        <v>10</v>
      </c>
      <c r="G11" s="15" t="s">
        <v>23</v>
      </c>
      <c r="H11" s="15" t="s">
        <v>22</v>
      </c>
      <c r="I11" s="15" t="s">
        <v>23</v>
      </c>
      <c r="J11" s="15" t="s">
        <v>22</v>
      </c>
      <c r="K11" s="15" t="s">
        <v>23</v>
      </c>
      <c r="L11" s="15" t="s">
        <v>22</v>
      </c>
      <c r="M11" s="15" t="s">
        <v>23</v>
      </c>
      <c r="N11" s="29" t="s">
        <v>22</v>
      </c>
      <c r="O11" s="31" t="s">
        <v>23</v>
      </c>
      <c r="P11" s="31" t="s">
        <v>10</v>
      </c>
      <c r="Q11" s="46"/>
      <c r="R11" s="46"/>
      <c r="S11" s="44"/>
      <c r="T11" s="44"/>
      <c r="U11" s="44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54" ht="19.5" customHeight="1" x14ac:dyDescent="0.25">
      <c r="A12" s="15">
        <v>1</v>
      </c>
      <c r="B12" s="32">
        <v>2</v>
      </c>
      <c r="C12" s="15">
        <v>3</v>
      </c>
      <c r="D12" s="15">
        <v>4</v>
      </c>
      <c r="E12" s="15">
        <v>5</v>
      </c>
      <c r="F12" s="15">
        <v>6</v>
      </c>
      <c r="G12" s="16" t="s">
        <v>72</v>
      </c>
      <c r="H12" s="16" t="s">
        <v>73</v>
      </c>
      <c r="I12" s="16" t="s">
        <v>74</v>
      </c>
      <c r="J12" s="16" t="s">
        <v>75</v>
      </c>
      <c r="K12" s="16" t="s">
        <v>76</v>
      </c>
      <c r="L12" s="16" t="s">
        <v>77</v>
      </c>
      <c r="M12" s="16" t="s">
        <v>78</v>
      </c>
      <c r="N12" s="16" t="s">
        <v>79</v>
      </c>
      <c r="O12" s="16" t="s">
        <v>80</v>
      </c>
      <c r="P12" s="16" t="s">
        <v>81</v>
      </c>
      <c r="Q12" s="15">
        <v>17</v>
      </c>
      <c r="R12" s="15">
        <v>18</v>
      </c>
      <c r="S12" s="32">
        <v>19</v>
      </c>
      <c r="T12" s="32">
        <v>20</v>
      </c>
      <c r="U12" s="32">
        <v>21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54" ht="94.5" x14ac:dyDescent="0.25">
      <c r="A13" s="17" t="s">
        <v>13</v>
      </c>
      <c r="B13" s="38" t="s">
        <v>12</v>
      </c>
      <c r="C13" s="18" t="s">
        <v>11</v>
      </c>
      <c r="D13" s="18" t="s">
        <v>11</v>
      </c>
      <c r="E13" s="18" t="s">
        <v>11</v>
      </c>
      <c r="F13" s="18" t="s">
        <v>11</v>
      </c>
      <c r="G13" s="19">
        <f t="shared" ref="G13:L13" si="0">G14+G15</f>
        <v>8.8533050847457631</v>
      </c>
      <c r="H13" s="19">
        <f t="shared" si="0"/>
        <v>11.432833333333335</v>
      </c>
      <c r="I13" s="19">
        <f t="shared" si="0"/>
        <v>9.6609661016949158</v>
      </c>
      <c r="J13" s="19">
        <f t="shared" si="0"/>
        <v>6.7270833333333337</v>
      </c>
      <c r="K13" s="19">
        <f t="shared" si="0"/>
        <v>10.4659</v>
      </c>
      <c r="L13" s="19">
        <f t="shared" si="0"/>
        <v>10.4659</v>
      </c>
      <c r="M13" s="19">
        <f t="shared" ref="M13:N13" si="1">M14+M15</f>
        <v>18.067666666666668</v>
      </c>
      <c r="N13" s="19">
        <f t="shared" si="1"/>
        <v>17.885200000000001</v>
      </c>
      <c r="O13" s="19">
        <f t="shared" ref="O13:P13" si="2">O14+O15</f>
        <v>38.600066666666663</v>
      </c>
      <c r="P13" s="19">
        <f t="shared" si="2"/>
        <v>43.164000000000001</v>
      </c>
      <c r="Q13" s="19">
        <f t="shared" ref="Q13:R13" si="3">Q14+Q15</f>
        <v>85.111083333333326</v>
      </c>
      <c r="R13" s="19">
        <f t="shared" si="3"/>
        <v>89.67501666666665</v>
      </c>
      <c r="S13" s="35" t="s">
        <v>107</v>
      </c>
      <c r="T13" s="35" t="s">
        <v>108</v>
      </c>
      <c r="U13" s="35" t="s">
        <v>90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54" ht="31.5" x14ac:dyDescent="0.25">
      <c r="A14" s="17" t="s">
        <v>30</v>
      </c>
      <c r="B14" s="38" t="s">
        <v>31</v>
      </c>
      <c r="C14" s="18" t="s">
        <v>11</v>
      </c>
      <c r="D14" s="18" t="s">
        <v>11</v>
      </c>
      <c r="E14" s="18" t="s">
        <v>11</v>
      </c>
      <c r="F14" s="18" t="s">
        <v>11</v>
      </c>
      <c r="G14" s="19">
        <f t="shared" ref="G14:L14" si="4">G16</f>
        <v>0</v>
      </c>
      <c r="H14" s="19">
        <f t="shared" si="4"/>
        <v>0</v>
      </c>
      <c r="I14" s="19">
        <f t="shared" si="4"/>
        <v>0</v>
      </c>
      <c r="J14" s="19">
        <f t="shared" si="4"/>
        <v>0</v>
      </c>
      <c r="K14" s="19">
        <f t="shared" si="4"/>
        <v>0</v>
      </c>
      <c r="L14" s="19">
        <f t="shared" si="4"/>
        <v>0</v>
      </c>
      <c r="M14" s="19">
        <f t="shared" ref="M14:N14" si="5">M16</f>
        <v>14.964500000000001</v>
      </c>
      <c r="N14" s="19">
        <f t="shared" si="5"/>
        <v>14.782</v>
      </c>
      <c r="O14" s="19">
        <f t="shared" ref="O14:P14" si="6">O16</f>
        <v>14.324166666666667</v>
      </c>
      <c r="P14" s="19">
        <f t="shared" si="6"/>
        <v>19.93</v>
      </c>
      <c r="Q14" s="19">
        <f t="shared" ref="Q14:R14" si="7">Q16</f>
        <v>29.106166666666667</v>
      </c>
      <c r="R14" s="19">
        <f t="shared" si="7"/>
        <v>34.711999999999996</v>
      </c>
      <c r="S14" s="20" t="s">
        <v>11</v>
      </c>
      <c r="T14" s="19"/>
      <c r="U14" s="33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54" ht="31.5" x14ac:dyDescent="0.25">
      <c r="A15" s="17" t="s">
        <v>32</v>
      </c>
      <c r="B15" s="38" t="s">
        <v>33</v>
      </c>
      <c r="C15" s="18" t="s">
        <v>11</v>
      </c>
      <c r="D15" s="18" t="s">
        <v>11</v>
      </c>
      <c r="E15" s="18" t="s">
        <v>11</v>
      </c>
      <c r="F15" s="18" t="s">
        <v>11</v>
      </c>
      <c r="G15" s="19">
        <f t="shared" ref="G15:L15" si="8">G33</f>
        <v>8.8533050847457631</v>
      </c>
      <c r="H15" s="19">
        <f t="shared" si="8"/>
        <v>11.432833333333335</v>
      </c>
      <c r="I15" s="19">
        <f t="shared" si="8"/>
        <v>9.6609661016949158</v>
      </c>
      <c r="J15" s="19">
        <f t="shared" si="8"/>
        <v>6.7270833333333337</v>
      </c>
      <c r="K15" s="19">
        <f t="shared" si="8"/>
        <v>10.4659</v>
      </c>
      <c r="L15" s="19">
        <f t="shared" si="8"/>
        <v>10.4659</v>
      </c>
      <c r="M15" s="19">
        <f t="shared" ref="M15:N15" si="9">M33</f>
        <v>3.1031666666666666</v>
      </c>
      <c r="N15" s="19">
        <f t="shared" si="9"/>
        <v>3.1032000000000002</v>
      </c>
      <c r="O15" s="19">
        <f t="shared" ref="O15:P15" si="10">O33</f>
        <v>24.2759</v>
      </c>
      <c r="P15" s="19">
        <f t="shared" si="10"/>
        <v>23.234000000000002</v>
      </c>
      <c r="Q15" s="19">
        <f t="shared" ref="Q15:R15" si="11">Q33</f>
        <v>56.004916666666659</v>
      </c>
      <c r="R15" s="19">
        <f t="shared" si="11"/>
        <v>54.963016666666654</v>
      </c>
      <c r="S15" s="20" t="s">
        <v>11</v>
      </c>
      <c r="T15" s="19"/>
      <c r="U15" s="33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54" ht="47.25" x14ac:dyDescent="0.25">
      <c r="A16" s="17" t="s">
        <v>34</v>
      </c>
      <c r="B16" s="38" t="s">
        <v>35</v>
      </c>
      <c r="C16" s="18" t="s">
        <v>11</v>
      </c>
      <c r="D16" s="18" t="s">
        <v>11</v>
      </c>
      <c r="E16" s="18" t="s">
        <v>11</v>
      </c>
      <c r="F16" s="18" t="s">
        <v>11</v>
      </c>
      <c r="G16" s="19">
        <f t="shared" ref="G16" si="12">G17+G22+G26</f>
        <v>0</v>
      </c>
      <c r="H16" s="19">
        <f t="shared" ref="H16" si="13">H17+H22+H26</f>
        <v>0</v>
      </c>
      <c r="I16" s="19">
        <f t="shared" ref="I16" si="14">I17+I22+I26</f>
        <v>0</v>
      </c>
      <c r="J16" s="19">
        <f t="shared" ref="J16" si="15">J17+J22+J26</f>
        <v>0</v>
      </c>
      <c r="K16" s="19">
        <f t="shared" ref="K16" si="16">K17+K22+K26</f>
        <v>0</v>
      </c>
      <c r="L16" s="19">
        <f t="shared" ref="L16" si="17">L17+L22+L26</f>
        <v>0</v>
      </c>
      <c r="M16" s="19">
        <f t="shared" ref="M16" si="18">M17+M22+M26</f>
        <v>14.964500000000001</v>
      </c>
      <c r="N16" s="19">
        <f t="shared" ref="N16" si="19">N17+N22+N26</f>
        <v>14.782</v>
      </c>
      <c r="O16" s="19">
        <f t="shared" ref="O16" si="20">O17+O22+O26</f>
        <v>14.324166666666667</v>
      </c>
      <c r="P16" s="19">
        <f t="shared" ref="P16" si="21">P17+P22+P26</f>
        <v>19.93</v>
      </c>
      <c r="Q16" s="19">
        <f t="shared" ref="Q16" si="22">Q17+Q22+Q26</f>
        <v>29.106166666666667</v>
      </c>
      <c r="R16" s="19">
        <f t="shared" ref="R16" si="23">R17+R22+R26</f>
        <v>34.711999999999996</v>
      </c>
      <c r="S16" s="20" t="s">
        <v>11</v>
      </c>
      <c r="T16" s="19"/>
      <c r="U16" s="33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78.75" x14ac:dyDescent="0.25">
      <c r="A17" s="17" t="s">
        <v>62</v>
      </c>
      <c r="B17" s="38" t="s">
        <v>63</v>
      </c>
      <c r="C17" s="18" t="s">
        <v>11</v>
      </c>
      <c r="D17" s="18" t="s">
        <v>11</v>
      </c>
      <c r="E17" s="18" t="s">
        <v>11</v>
      </c>
      <c r="F17" s="18" t="s">
        <v>11</v>
      </c>
      <c r="G17" s="19">
        <f>G18+G20</f>
        <v>0</v>
      </c>
      <c r="H17" s="19">
        <f t="shared" ref="H17:R17" si="24">H18+H20</f>
        <v>0</v>
      </c>
      <c r="I17" s="19">
        <f t="shared" si="24"/>
        <v>0</v>
      </c>
      <c r="J17" s="19">
        <f t="shared" si="24"/>
        <v>0</v>
      </c>
      <c r="K17" s="19">
        <f t="shared" si="24"/>
        <v>0</v>
      </c>
      <c r="L17" s="19">
        <f t="shared" si="24"/>
        <v>0</v>
      </c>
      <c r="M17" s="19">
        <f t="shared" si="24"/>
        <v>0.47341666666666671</v>
      </c>
      <c r="N17" s="19">
        <f t="shared" si="24"/>
        <v>0.45400000000000001</v>
      </c>
      <c r="O17" s="19">
        <f t="shared" si="24"/>
        <v>0</v>
      </c>
      <c r="P17" s="19">
        <f t="shared" si="24"/>
        <v>2.5409999999999999</v>
      </c>
      <c r="Q17" s="19">
        <f t="shared" si="24"/>
        <v>0.45400000000000001</v>
      </c>
      <c r="R17" s="19">
        <f t="shared" si="24"/>
        <v>2.9950000000000001</v>
      </c>
      <c r="S17" s="20" t="s">
        <v>11</v>
      </c>
      <c r="T17" s="19"/>
      <c r="U17" s="33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31.5" x14ac:dyDescent="0.25">
      <c r="A18" s="17" t="s">
        <v>64</v>
      </c>
      <c r="B18" s="38" t="s">
        <v>65</v>
      </c>
      <c r="C18" s="18" t="s">
        <v>11</v>
      </c>
      <c r="D18" s="18" t="s">
        <v>11</v>
      </c>
      <c r="E18" s="18" t="s">
        <v>11</v>
      </c>
      <c r="F18" s="18" t="s">
        <v>11</v>
      </c>
      <c r="G18" s="19">
        <f t="shared" ref="G18:G20" si="25">G19</f>
        <v>0</v>
      </c>
      <c r="H18" s="19">
        <f t="shared" ref="H18:H20" si="26">H19</f>
        <v>0</v>
      </c>
      <c r="I18" s="19">
        <f t="shared" ref="I18:I20" si="27">I19</f>
        <v>0</v>
      </c>
      <c r="J18" s="19">
        <f t="shared" ref="J18:J20" si="28">J19</f>
        <v>0</v>
      </c>
      <c r="K18" s="19">
        <f t="shared" ref="K18:K20" si="29">K19</f>
        <v>0</v>
      </c>
      <c r="L18" s="19">
        <f t="shared" ref="L18:L20" si="30">L19</f>
        <v>0</v>
      </c>
      <c r="M18" s="19">
        <f t="shared" ref="M18:M20" si="31">M19</f>
        <v>0.47341666666666671</v>
      </c>
      <c r="N18" s="19">
        <f t="shared" ref="N18:N20" si="32">N19</f>
        <v>0.45400000000000001</v>
      </c>
      <c r="O18" s="19">
        <f t="shared" ref="O18:O20" si="33">O19</f>
        <v>0</v>
      </c>
      <c r="P18" s="19">
        <f t="shared" ref="P18:P20" si="34">P19</f>
        <v>0</v>
      </c>
      <c r="Q18" s="19">
        <f t="shared" ref="Q18:Q20" si="35">Q19</f>
        <v>0.45400000000000001</v>
      </c>
      <c r="R18" s="19">
        <f t="shared" ref="R18:R20" si="36">R19</f>
        <v>0.45400000000000001</v>
      </c>
      <c r="S18" s="20" t="s">
        <v>11</v>
      </c>
      <c r="T18" s="19"/>
      <c r="U18" s="33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31.5" x14ac:dyDescent="0.25">
      <c r="A19" s="21" t="s">
        <v>64</v>
      </c>
      <c r="B19" s="39" t="s">
        <v>66</v>
      </c>
      <c r="C19" s="18" t="s">
        <v>67</v>
      </c>
      <c r="D19" s="18">
        <v>2022</v>
      </c>
      <c r="E19" s="18">
        <v>2022</v>
      </c>
      <c r="F19" s="18">
        <v>2022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3">
        <f>0.5681/1.2</f>
        <v>0.47341666666666671</v>
      </c>
      <c r="N19" s="23">
        <f>ROUND(545000/1000000/1.2,3)</f>
        <v>0.45400000000000001</v>
      </c>
      <c r="O19" s="22">
        <v>0</v>
      </c>
      <c r="P19" s="22">
        <v>0</v>
      </c>
      <c r="Q19" s="22">
        <f>H19+J19+L19+N19+O19</f>
        <v>0.45400000000000001</v>
      </c>
      <c r="R19" s="22">
        <f t="shared" ref="R19" si="37">H19+J19+L19+N19+P19</f>
        <v>0.45400000000000001</v>
      </c>
      <c r="S19" s="33" t="s">
        <v>11</v>
      </c>
      <c r="T19" s="32"/>
      <c r="U19" s="32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63" x14ac:dyDescent="0.25">
      <c r="A20" s="17" t="s">
        <v>93</v>
      </c>
      <c r="B20" s="38" t="s">
        <v>94</v>
      </c>
      <c r="C20" s="18" t="s">
        <v>11</v>
      </c>
      <c r="D20" s="18" t="s">
        <v>11</v>
      </c>
      <c r="E20" s="18" t="s">
        <v>11</v>
      </c>
      <c r="F20" s="18" t="s">
        <v>11</v>
      </c>
      <c r="G20" s="19">
        <f t="shared" si="25"/>
        <v>0</v>
      </c>
      <c r="H20" s="19">
        <f t="shared" si="26"/>
        <v>0</v>
      </c>
      <c r="I20" s="19">
        <f t="shared" si="27"/>
        <v>0</v>
      </c>
      <c r="J20" s="19">
        <f t="shared" si="28"/>
        <v>0</v>
      </c>
      <c r="K20" s="19">
        <f t="shared" si="29"/>
        <v>0</v>
      </c>
      <c r="L20" s="19">
        <f t="shared" si="30"/>
        <v>0</v>
      </c>
      <c r="M20" s="19">
        <f t="shared" si="31"/>
        <v>0</v>
      </c>
      <c r="N20" s="19">
        <f t="shared" si="32"/>
        <v>0</v>
      </c>
      <c r="O20" s="19">
        <f t="shared" si="33"/>
        <v>0</v>
      </c>
      <c r="P20" s="19">
        <f t="shared" si="34"/>
        <v>2.5409999999999999</v>
      </c>
      <c r="Q20" s="19">
        <f t="shared" si="35"/>
        <v>0</v>
      </c>
      <c r="R20" s="19">
        <f t="shared" si="36"/>
        <v>2.5409999999999999</v>
      </c>
      <c r="S20" s="20" t="s">
        <v>11</v>
      </c>
      <c r="T20" s="32"/>
      <c r="U20" s="32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31.5" x14ac:dyDescent="0.25">
      <c r="A21" s="21" t="s">
        <v>93</v>
      </c>
      <c r="B21" s="39" t="s">
        <v>95</v>
      </c>
      <c r="C21" s="18" t="s">
        <v>96</v>
      </c>
      <c r="D21" s="18">
        <v>2023</v>
      </c>
      <c r="E21" s="18">
        <v>2023</v>
      </c>
      <c r="F21" s="18">
        <v>2023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3">
        <v>0</v>
      </c>
      <c r="P21" s="23">
        <f>ROUND(3.0492/1.2,3)</f>
        <v>2.5409999999999999</v>
      </c>
      <c r="Q21" s="22">
        <f>H21+J21+L21+N21+O21</f>
        <v>0</v>
      </c>
      <c r="R21" s="22">
        <f t="shared" ref="R21" si="38">H21+J21+L21+N21+P21</f>
        <v>2.5409999999999999</v>
      </c>
      <c r="S21" s="32" t="s">
        <v>97</v>
      </c>
      <c r="T21" s="32" t="s">
        <v>98</v>
      </c>
      <c r="U21" s="32" t="s">
        <v>90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47.25" x14ac:dyDescent="0.25">
      <c r="A22" s="17" t="s">
        <v>36</v>
      </c>
      <c r="B22" s="38" t="s">
        <v>37</v>
      </c>
      <c r="C22" s="18" t="s">
        <v>11</v>
      </c>
      <c r="D22" s="18" t="s">
        <v>11</v>
      </c>
      <c r="E22" s="18" t="s">
        <v>11</v>
      </c>
      <c r="F22" s="18" t="s">
        <v>11</v>
      </c>
      <c r="G22" s="19">
        <f t="shared" ref="G22:R22" si="39">G23</f>
        <v>0</v>
      </c>
      <c r="H22" s="19">
        <f t="shared" si="39"/>
        <v>0</v>
      </c>
      <c r="I22" s="19">
        <f t="shared" si="39"/>
        <v>0</v>
      </c>
      <c r="J22" s="19">
        <f t="shared" si="39"/>
        <v>0</v>
      </c>
      <c r="K22" s="19">
        <f t="shared" si="39"/>
        <v>0</v>
      </c>
      <c r="L22" s="19">
        <f t="shared" si="39"/>
        <v>0</v>
      </c>
      <c r="M22" s="19">
        <f t="shared" si="39"/>
        <v>7.1523333333333339</v>
      </c>
      <c r="N22" s="19">
        <f t="shared" si="39"/>
        <v>7.1289999999999996</v>
      </c>
      <c r="O22" s="19">
        <f t="shared" si="39"/>
        <v>14.324166666666667</v>
      </c>
      <c r="P22" s="19">
        <f t="shared" si="39"/>
        <v>16.390999999999998</v>
      </c>
      <c r="Q22" s="19">
        <f t="shared" si="39"/>
        <v>21.453166666666668</v>
      </c>
      <c r="R22" s="19">
        <f t="shared" si="39"/>
        <v>23.519999999999996</v>
      </c>
      <c r="S22" s="20" t="s">
        <v>11</v>
      </c>
      <c r="T22" s="19"/>
      <c r="U22" s="33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1:49" ht="47.25" x14ac:dyDescent="0.25">
      <c r="A23" s="17" t="s">
        <v>38</v>
      </c>
      <c r="B23" s="38" t="s">
        <v>39</v>
      </c>
      <c r="C23" s="18" t="s">
        <v>11</v>
      </c>
      <c r="D23" s="18" t="s">
        <v>11</v>
      </c>
      <c r="E23" s="18" t="s">
        <v>11</v>
      </c>
      <c r="F23" s="18" t="s">
        <v>11</v>
      </c>
      <c r="G23" s="19">
        <f t="shared" ref="G23" si="40">SUM(G24:G25)</f>
        <v>0</v>
      </c>
      <c r="H23" s="19">
        <f t="shared" ref="H23" si="41">SUM(H24:H25)</f>
        <v>0</v>
      </c>
      <c r="I23" s="19">
        <f t="shared" ref="I23" si="42">SUM(I24:I25)</f>
        <v>0</v>
      </c>
      <c r="J23" s="19">
        <f t="shared" ref="J23" si="43">SUM(J24:J25)</f>
        <v>0</v>
      </c>
      <c r="K23" s="19">
        <f t="shared" ref="K23" si="44">SUM(K24:K25)</f>
        <v>0</v>
      </c>
      <c r="L23" s="19">
        <f t="shared" ref="L23" si="45">SUM(L24:L25)</f>
        <v>0</v>
      </c>
      <c r="M23" s="19">
        <f t="shared" ref="M23" si="46">SUM(M24:M25)</f>
        <v>7.1523333333333339</v>
      </c>
      <c r="N23" s="19">
        <f t="shared" ref="N23" si="47">SUM(N24:N25)</f>
        <v>7.1289999999999996</v>
      </c>
      <c r="O23" s="19">
        <f t="shared" ref="O23" si="48">SUM(O24:O25)</f>
        <v>14.324166666666667</v>
      </c>
      <c r="P23" s="19">
        <f t="shared" ref="P23" si="49">SUM(P24:P25)</f>
        <v>16.390999999999998</v>
      </c>
      <c r="Q23" s="19">
        <f t="shared" ref="Q23" si="50">SUM(Q24:Q25)</f>
        <v>21.453166666666668</v>
      </c>
      <c r="R23" s="19">
        <f t="shared" ref="R23" si="51">SUM(R24:R25)</f>
        <v>23.519999999999996</v>
      </c>
      <c r="S23" s="20" t="s">
        <v>11</v>
      </c>
      <c r="T23" s="19"/>
      <c r="U23" s="33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spans="1:49" ht="70.5" customHeight="1" x14ac:dyDescent="0.25">
      <c r="A24" s="21" t="s">
        <v>38</v>
      </c>
      <c r="B24" s="39" t="s">
        <v>40</v>
      </c>
      <c r="C24" s="18" t="s">
        <v>41</v>
      </c>
      <c r="D24" s="18">
        <v>2022</v>
      </c>
      <c r="E24" s="18">
        <v>2023</v>
      </c>
      <c r="F24" s="18">
        <v>2023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3">
        <f>8.5828/1.2</f>
        <v>7.1523333333333339</v>
      </c>
      <c r="N24" s="23">
        <f>ROUND((925552.8+1737600+5891794.3)/1000000/1.2,3)</f>
        <v>7.1289999999999996</v>
      </c>
      <c r="O24" s="22">
        <f>10.1383/1.2</f>
        <v>8.4485833333333336</v>
      </c>
      <c r="P24" s="22">
        <f>ROUND(7.14071/1.2,3)</f>
        <v>5.9509999999999996</v>
      </c>
      <c r="Q24" s="22">
        <f t="shared" ref="Q24:Q25" si="52">H24+J24+L24+N24+O24</f>
        <v>15.577583333333333</v>
      </c>
      <c r="R24" s="22">
        <f t="shared" ref="R24:R25" si="53">H24+J24+L24+N24+P24</f>
        <v>13.079999999999998</v>
      </c>
      <c r="S24" s="32" t="s">
        <v>92</v>
      </c>
      <c r="T24" s="32" t="s">
        <v>87</v>
      </c>
      <c r="U24" s="32" t="s">
        <v>90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1:49" ht="121.5" customHeight="1" x14ac:dyDescent="0.25">
      <c r="A25" s="21" t="s">
        <v>38</v>
      </c>
      <c r="B25" s="39" t="s">
        <v>68</v>
      </c>
      <c r="C25" s="18" t="s">
        <v>69</v>
      </c>
      <c r="D25" s="18">
        <v>2023</v>
      </c>
      <c r="E25" s="18">
        <v>2023</v>
      </c>
      <c r="F25" s="18">
        <v>2023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3">
        <f>7.0507/1.2</f>
        <v>5.8755833333333332</v>
      </c>
      <c r="P25" s="23">
        <f>ROUND(12.528/1.2,3)</f>
        <v>10.44</v>
      </c>
      <c r="Q25" s="22">
        <f t="shared" si="52"/>
        <v>5.8755833333333332</v>
      </c>
      <c r="R25" s="22">
        <f t="shared" si="53"/>
        <v>10.44</v>
      </c>
      <c r="S25" s="32" t="s">
        <v>109</v>
      </c>
      <c r="T25" s="32" t="s">
        <v>87</v>
      </c>
      <c r="U25" s="32" t="s">
        <v>90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47.25" x14ac:dyDescent="0.25">
      <c r="A26" s="17" t="s">
        <v>42</v>
      </c>
      <c r="B26" s="38" t="s">
        <v>43</v>
      </c>
      <c r="C26" s="18" t="s">
        <v>11</v>
      </c>
      <c r="D26" s="18" t="s">
        <v>11</v>
      </c>
      <c r="E26" s="18" t="s">
        <v>11</v>
      </c>
      <c r="F26" s="18" t="s">
        <v>11</v>
      </c>
      <c r="G26" s="19">
        <f t="shared" ref="G26:R26" si="54">G27+G29+G31</f>
        <v>0</v>
      </c>
      <c r="H26" s="19">
        <f t="shared" si="54"/>
        <v>0</v>
      </c>
      <c r="I26" s="19">
        <f t="shared" si="54"/>
        <v>0</v>
      </c>
      <c r="J26" s="19">
        <f t="shared" si="54"/>
        <v>0</v>
      </c>
      <c r="K26" s="19">
        <f t="shared" si="54"/>
        <v>0</v>
      </c>
      <c r="L26" s="19">
        <f t="shared" si="54"/>
        <v>0</v>
      </c>
      <c r="M26" s="19">
        <f t="shared" si="54"/>
        <v>7.338750000000001</v>
      </c>
      <c r="N26" s="19">
        <f t="shared" si="54"/>
        <v>7.1989999999999998</v>
      </c>
      <c r="O26" s="19">
        <f t="shared" si="54"/>
        <v>0</v>
      </c>
      <c r="P26" s="19">
        <f t="shared" si="54"/>
        <v>0.998</v>
      </c>
      <c r="Q26" s="19">
        <f t="shared" si="54"/>
        <v>7.1989999999999998</v>
      </c>
      <c r="R26" s="19">
        <f t="shared" si="54"/>
        <v>8.1969999999999992</v>
      </c>
      <c r="S26" s="20" t="s">
        <v>11</v>
      </c>
      <c r="T26" s="19"/>
      <c r="U26" s="33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 ht="47.25" x14ac:dyDescent="0.25">
      <c r="A27" s="17" t="s">
        <v>44</v>
      </c>
      <c r="B27" s="38" t="s">
        <v>45</v>
      </c>
      <c r="C27" s="18" t="s">
        <v>11</v>
      </c>
      <c r="D27" s="18" t="s">
        <v>11</v>
      </c>
      <c r="E27" s="18" t="s">
        <v>11</v>
      </c>
      <c r="F27" s="18" t="s">
        <v>11</v>
      </c>
      <c r="G27" s="19">
        <f t="shared" ref="G27:R29" si="55">SUM(G28)</f>
        <v>0</v>
      </c>
      <c r="H27" s="19">
        <f t="shared" si="55"/>
        <v>0</v>
      </c>
      <c r="I27" s="19">
        <f t="shared" si="55"/>
        <v>0</v>
      </c>
      <c r="J27" s="19">
        <f t="shared" si="55"/>
        <v>0</v>
      </c>
      <c r="K27" s="19">
        <f t="shared" si="55"/>
        <v>0</v>
      </c>
      <c r="L27" s="19">
        <f t="shared" si="55"/>
        <v>0</v>
      </c>
      <c r="M27" s="19">
        <f t="shared" si="55"/>
        <v>6.1515833333333338</v>
      </c>
      <c r="N27" s="19">
        <f t="shared" si="55"/>
        <v>6.0119999999999996</v>
      </c>
      <c r="O27" s="19">
        <f t="shared" si="55"/>
        <v>0</v>
      </c>
      <c r="P27" s="19">
        <f t="shared" si="55"/>
        <v>0</v>
      </c>
      <c r="Q27" s="19">
        <f t="shared" si="55"/>
        <v>6.0119999999999996</v>
      </c>
      <c r="R27" s="19">
        <f t="shared" si="55"/>
        <v>6.0119999999999996</v>
      </c>
      <c r="S27" s="20" t="s">
        <v>11</v>
      </c>
      <c r="T27" s="19"/>
      <c r="U27" s="33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35.25" customHeight="1" x14ac:dyDescent="0.25">
      <c r="A28" s="21" t="s">
        <v>44</v>
      </c>
      <c r="B28" s="39" t="s">
        <v>46</v>
      </c>
      <c r="C28" s="18" t="s">
        <v>47</v>
      </c>
      <c r="D28" s="18">
        <v>2022</v>
      </c>
      <c r="E28" s="18">
        <v>2022</v>
      </c>
      <c r="F28" s="18">
        <v>2022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3">
        <f>7.3819/1.2</f>
        <v>6.1515833333333338</v>
      </c>
      <c r="N28" s="23">
        <f>ROUND((4352400+2642400+219600)/1000000/1.2,3)</f>
        <v>6.0119999999999996</v>
      </c>
      <c r="O28" s="22">
        <v>0</v>
      </c>
      <c r="P28" s="22">
        <v>0</v>
      </c>
      <c r="Q28" s="22">
        <f>H28+J28+L28+N28+O28</f>
        <v>6.0119999999999996</v>
      </c>
      <c r="R28" s="22">
        <f t="shared" ref="R28:R44" si="56">H28+J28+L28+N28+P28</f>
        <v>6.0119999999999996</v>
      </c>
      <c r="S28" s="33" t="s">
        <v>11</v>
      </c>
      <c r="T28" s="32"/>
      <c r="U28" s="32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54" customHeight="1" x14ac:dyDescent="0.25">
      <c r="A29" s="17" t="s">
        <v>99</v>
      </c>
      <c r="B29" s="38" t="s">
        <v>100</v>
      </c>
      <c r="C29" s="18" t="s">
        <v>11</v>
      </c>
      <c r="D29" s="18" t="s">
        <v>11</v>
      </c>
      <c r="E29" s="18" t="s">
        <v>11</v>
      </c>
      <c r="F29" s="18" t="s">
        <v>11</v>
      </c>
      <c r="G29" s="19">
        <f t="shared" si="55"/>
        <v>0</v>
      </c>
      <c r="H29" s="19">
        <f t="shared" si="55"/>
        <v>0</v>
      </c>
      <c r="I29" s="19">
        <f t="shared" si="55"/>
        <v>0</v>
      </c>
      <c r="J29" s="19">
        <f t="shared" si="55"/>
        <v>0</v>
      </c>
      <c r="K29" s="19">
        <f t="shared" si="55"/>
        <v>0</v>
      </c>
      <c r="L29" s="19">
        <f t="shared" si="55"/>
        <v>0</v>
      </c>
      <c r="M29" s="19">
        <f t="shared" si="55"/>
        <v>0</v>
      </c>
      <c r="N29" s="19">
        <f t="shared" si="55"/>
        <v>0</v>
      </c>
      <c r="O29" s="19">
        <f t="shared" si="55"/>
        <v>0</v>
      </c>
      <c r="P29" s="19">
        <f t="shared" si="55"/>
        <v>0.998</v>
      </c>
      <c r="Q29" s="19">
        <f t="shared" si="55"/>
        <v>0</v>
      </c>
      <c r="R29" s="19">
        <f t="shared" si="55"/>
        <v>0.998</v>
      </c>
      <c r="S29" s="20" t="s">
        <v>11</v>
      </c>
      <c r="T29" s="32"/>
      <c r="U29" s="32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ht="70.5" customHeight="1" x14ac:dyDescent="0.25">
      <c r="A30" s="21" t="s">
        <v>99</v>
      </c>
      <c r="B30" s="39" t="s">
        <v>101</v>
      </c>
      <c r="C30" s="18" t="s">
        <v>102</v>
      </c>
      <c r="D30" s="18">
        <v>2023</v>
      </c>
      <c r="E30" s="18">
        <v>2023</v>
      </c>
      <c r="F30" s="18">
        <v>2023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3">
        <v>0</v>
      </c>
      <c r="P30" s="23">
        <f>ROUND(1.197/1.2,3)</f>
        <v>0.998</v>
      </c>
      <c r="Q30" s="22">
        <f>H30+J30+L30+N30+O30</f>
        <v>0</v>
      </c>
      <c r="R30" s="22">
        <f t="shared" ref="R30" si="57">H30+J30+L30+N30+P30</f>
        <v>0.998</v>
      </c>
      <c r="S30" s="32" t="s">
        <v>97</v>
      </c>
      <c r="T30" s="32" t="s">
        <v>98</v>
      </c>
      <c r="U30" s="32" t="s">
        <v>90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ht="63" x14ac:dyDescent="0.25">
      <c r="A31" s="17" t="s">
        <v>48</v>
      </c>
      <c r="B31" s="38" t="s">
        <v>49</v>
      </c>
      <c r="C31" s="18" t="s">
        <v>11</v>
      </c>
      <c r="D31" s="18" t="s">
        <v>11</v>
      </c>
      <c r="E31" s="18" t="s">
        <v>11</v>
      </c>
      <c r="F31" s="18" t="s">
        <v>11</v>
      </c>
      <c r="G31" s="19">
        <f t="shared" ref="G31:R31" si="58">SUM(G32)</f>
        <v>0</v>
      </c>
      <c r="H31" s="19">
        <f t="shared" si="58"/>
        <v>0</v>
      </c>
      <c r="I31" s="19">
        <f t="shared" si="58"/>
        <v>0</v>
      </c>
      <c r="J31" s="19">
        <f t="shared" si="58"/>
        <v>0</v>
      </c>
      <c r="K31" s="19">
        <f t="shared" si="58"/>
        <v>0</v>
      </c>
      <c r="L31" s="19">
        <f t="shared" si="58"/>
        <v>0</v>
      </c>
      <c r="M31" s="19">
        <f t="shared" si="58"/>
        <v>1.1871666666666667</v>
      </c>
      <c r="N31" s="19">
        <f t="shared" si="58"/>
        <v>1.1870000000000001</v>
      </c>
      <c r="O31" s="19">
        <f t="shared" si="58"/>
        <v>0</v>
      </c>
      <c r="P31" s="19">
        <f t="shared" si="58"/>
        <v>0</v>
      </c>
      <c r="Q31" s="19">
        <f t="shared" si="58"/>
        <v>1.1870000000000001</v>
      </c>
      <c r="R31" s="19">
        <f t="shared" si="58"/>
        <v>1.1870000000000001</v>
      </c>
      <c r="S31" s="20" t="s">
        <v>11</v>
      </c>
      <c r="T31" s="19"/>
      <c r="U31" s="33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 ht="31.5" x14ac:dyDescent="0.25">
      <c r="A32" s="21" t="s">
        <v>48</v>
      </c>
      <c r="B32" s="39" t="s">
        <v>50</v>
      </c>
      <c r="C32" s="18" t="s">
        <v>51</v>
      </c>
      <c r="D32" s="18">
        <v>2022</v>
      </c>
      <c r="E32" s="18">
        <v>2022</v>
      </c>
      <c r="F32" s="18">
        <v>2022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3">
        <f>1.4246/1.2</f>
        <v>1.1871666666666667</v>
      </c>
      <c r="N32" s="23">
        <f>ROUND((1330089.6/1000000/1.2)+(78752/1000000),3)</f>
        <v>1.1870000000000001</v>
      </c>
      <c r="O32" s="22">
        <v>0</v>
      </c>
      <c r="P32" s="22">
        <v>0</v>
      </c>
      <c r="Q32" s="22">
        <f>H32+J32+L32+N32+O32</f>
        <v>1.1870000000000001</v>
      </c>
      <c r="R32" s="22">
        <f t="shared" si="56"/>
        <v>1.1870000000000001</v>
      </c>
      <c r="S32" s="33" t="s">
        <v>11</v>
      </c>
      <c r="T32" s="32"/>
      <c r="U32" s="32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21" ht="31.5" x14ac:dyDescent="0.25">
      <c r="A33" s="17" t="s">
        <v>52</v>
      </c>
      <c r="B33" s="38" t="s">
        <v>14</v>
      </c>
      <c r="C33" s="18" t="s">
        <v>11</v>
      </c>
      <c r="D33" s="18" t="s">
        <v>11</v>
      </c>
      <c r="E33" s="18" t="s">
        <v>11</v>
      </c>
      <c r="F33" s="18" t="s">
        <v>11</v>
      </c>
      <c r="G33" s="19">
        <f t="shared" ref="G33:L33" si="59">SUM(G34:G44)</f>
        <v>8.8533050847457631</v>
      </c>
      <c r="H33" s="19">
        <f t="shared" si="59"/>
        <v>11.432833333333335</v>
      </c>
      <c r="I33" s="19">
        <f t="shared" si="59"/>
        <v>9.6609661016949158</v>
      </c>
      <c r="J33" s="19">
        <f t="shared" si="59"/>
        <v>6.7270833333333337</v>
      </c>
      <c r="K33" s="19">
        <f t="shared" si="59"/>
        <v>10.4659</v>
      </c>
      <c r="L33" s="19">
        <f t="shared" si="59"/>
        <v>10.4659</v>
      </c>
      <c r="M33" s="24">
        <f t="shared" ref="M33:R33" si="60">SUM(M34:M44)</f>
        <v>3.1031666666666666</v>
      </c>
      <c r="N33" s="24">
        <f t="shared" si="60"/>
        <v>3.1032000000000002</v>
      </c>
      <c r="O33" s="24">
        <f t="shared" si="60"/>
        <v>24.2759</v>
      </c>
      <c r="P33" s="24">
        <f t="shared" si="60"/>
        <v>23.234000000000002</v>
      </c>
      <c r="Q33" s="24">
        <f t="shared" si="60"/>
        <v>56.004916666666659</v>
      </c>
      <c r="R33" s="24">
        <f t="shared" si="60"/>
        <v>54.963016666666654</v>
      </c>
      <c r="S33" s="20" t="s">
        <v>11</v>
      </c>
      <c r="T33" s="24"/>
      <c r="U33" s="33"/>
    </row>
    <row r="34" spans="1:21" ht="31.5" x14ac:dyDescent="0.25">
      <c r="A34" s="25" t="s">
        <v>52</v>
      </c>
      <c r="B34" s="39" t="s">
        <v>15</v>
      </c>
      <c r="C34" s="18" t="s">
        <v>18</v>
      </c>
      <c r="D34" s="18">
        <v>2019</v>
      </c>
      <c r="E34" s="18">
        <v>2019</v>
      </c>
      <c r="F34" s="18">
        <v>2019</v>
      </c>
      <c r="G34" s="23">
        <f>10.4469/1.18</f>
        <v>8.8533050847457631</v>
      </c>
      <c r="H34" s="23">
        <f>13.7194/1.2</f>
        <v>11.432833333333335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2">
        <f t="shared" ref="Q34:Q44" si="61">H34+J34+L34+N34+O34</f>
        <v>11.432833333333335</v>
      </c>
      <c r="R34" s="22">
        <f t="shared" si="56"/>
        <v>11.432833333333335</v>
      </c>
      <c r="S34" s="33" t="s">
        <v>11</v>
      </c>
      <c r="T34" s="22"/>
      <c r="U34" s="33"/>
    </row>
    <row r="35" spans="1:21" ht="31.5" x14ac:dyDescent="0.25">
      <c r="A35" s="25" t="s">
        <v>52</v>
      </c>
      <c r="B35" s="26" t="s">
        <v>29</v>
      </c>
      <c r="C35" s="18" t="s">
        <v>19</v>
      </c>
      <c r="D35" s="18">
        <v>2020</v>
      </c>
      <c r="E35" s="18">
        <v>2021</v>
      </c>
      <c r="F35" s="18">
        <v>2021</v>
      </c>
      <c r="G35" s="22">
        <v>0</v>
      </c>
      <c r="H35" s="22">
        <v>0</v>
      </c>
      <c r="I35" s="22">
        <f>1.39/1.18</f>
        <v>1.1779661016949152</v>
      </c>
      <c r="J35" s="22">
        <f>8.0725/1.2</f>
        <v>6.7270833333333337</v>
      </c>
      <c r="K35" s="22">
        <v>10.4659</v>
      </c>
      <c r="L35" s="22">
        <v>10.4659</v>
      </c>
      <c r="M35" s="22">
        <v>0</v>
      </c>
      <c r="N35" s="22">
        <v>0</v>
      </c>
      <c r="O35" s="22">
        <v>0</v>
      </c>
      <c r="P35" s="22">
        <v>0</v>
      </c>
      <c r="Q35" s="22">
        <f t="shared" si="61"/>
        <v>17.192983333333334</v>
      </c>
      <c r="R35" s="22">
        <f t="shared" si="56"/>
        <v>17.192983333333334</v>
      </c>
      <c r="S35" s="33" t="s">
        <v>11</v>
      </c>
      <c r="T35" s="22"/>
      <c r="U35" s="32"/>
    </row>
    <row r="36" spans="1:21" ht="81.75" customHeight="1" x14ac:dyDescent="0.25">
      <c r="A36" s="25" t="s">
        <v>52</v>
      </c>
      <c r="B36" s="26" t="s">
        <v>16</v>
      </c>
      <c r="C36" s="18" t="s">
        <v>20</v>
      </c>
      <c r="D36" s="18">
        <v>2023</v>
      </c>
      <c r="E36" s="18">
        <v>2023</v>
      </c>
      <c r="F36" s="18">
        <v>2023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8.3519000000000005</v>
      </c>
      <c r="P36" s="22">
        <v>0</v>
      </c>
      <c r="Q36" s="22">
        <f t="shared" si="61"/>
        <v>8.3519000000000005</v>
      </c>
      <c r="R36" s="22">
        <f t="shared" si="56"/>
        <v>0</v>
      </c>
      <c r="S36" s="32" t="s">
        <v>88</v>
      </c>
      <c r="T36" s="32" t="s">
        <v>89</v>
      </c>
      <c r="U36" s="32" t="s">
        <v>90</v>
      </c>
    </row>
    <row r="37" spans="1:21" ht="36.75" customHeight="1" x14ac:dyDescent="0.25">
      <c r="A37" s="25" t="s">
        <v>52</v>
      </c>
      <c r="B37" s="27" t="s">
        <v>17</v>
      </c>
      <c r="C37" s="18" t="s">
        <v>21</v>
      </c>
      <c r="D37" s="18">
        <v>2020</v>
      </c>
      <c r="E37" s="18">
        <v>2021</v>
      </c>
      <c r="F37" s="18">
        <v>2021</v>
      </c>
      <c r="G37" s="22">
        <v>0</v>
      </c>
      <c r="H37" s="22">
        <v>0</v>
      </c>
      <c r="I37" s="22">
        <v>8.4830000000000005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61"/>
        <v>0</v>
      </c>
      <c r="R37" s="22">
        <f t="shared" si="56"/>
        <v>0</v>
      </c>
      <c r="S37" s="33" t="s">
        <v>11</v>
      </c>
      <c r="T37" s="22"/>
      <c r="U37" s="34"/>
    </row>
    <row r="38" spans="1:21" ht="35.25" customHeight="1" x14ac:dyDescent="0.25">
      <c r="A38" s="25" t="s">
        <v>52</v>
      </c>
      <c r="B38" s="27" t="s">
        <v>53</v>
      </c>
      <c r="C38" s="18" t="s">
        <v>54</v>
      </c>
      <c r="D38" s="18">
        <v>2022</v>
      </c>
      <c r="E38" s="18">
        <v>2023</v>
      </c>
      <c r="F38" s="18">
        <v>2023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f>ROUND(2.3002/1.2,3)</f>
        <v>1.917</v>
      </c>
      <c r="P38" s="22">
        <f>ROUND(2.4616/1.2,3)</f>
        <v>2.0510000000000002</v>
      </c>
      <c r="Q38" s="22">
        <f t="shared" si="61"/>
        <v>1.917</v>
      </c>
      <c r="R38" s="22">
        <f t="shared" si="56"/>
        <v>2.0510000000000002</v>
      </c>
      <c r="S38" s="32" t="s">
        <v>91</v>
      </c>
      <c r="T38" s="32" t="s">
        <v>87</v>
      </c>
      <c r="U38" s="32" t="s">
        <v>90</v>
      </c>
    </row>
    <row r="39" spans="1:21" ht="35.25" customHeight="1" x14ac:dyDescent="0.25">
      <c r="A39" s="25" t="s">
        <v>52</v>
      </c>
      <c r="B39" s="27" t="s">
        <v>55</v>
      </c>
      <c r="C39" s="18" t="s">
        <v>56</v>
      </c>
      <c r="D39" s="18">
        <v>2022</v>
      </c>
      <c r="E39" s="18">
        <v>2023</v>
      </c>
      <c r="F39" s="18">
        <v>2023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f>ROUND(1.622/1.2,3)</f>
        <v>1.3520000000000001</v>
      </c>
      <c r="P39" s="22">
        <f>ROUND(2.99/1.2,3)</f>
        <v>2.492</v>
      </c>
      <c r="Q39" s="22">
        <f t="shared" si="61"/>
        <v>1.3520000000000001</v>
      </c>
      <c r="R39" s="22">
        <f t="shared" si="56"/>
        <v>2.492</v>
      </c>
      <c r="S39" s="32" t="s">
        <v>91</v>
      </c>
      <c r="T39" s="32" t="s">
        <v>87</v>
      </c>
      <c r="U39" s="32" t="s">
        <v>90</v>
      </c>
    </row>
    <row r="40" spans="1:21" ht="30.75" customHeight="1" x14ac:dyDescent="0.25">
      <c r="A40" s="25" t="s">
        <v>52</v>
      </c>
      <c r="B40" s="27" t="s">
        <v>57</v>
      </c>
      <c r="C40" s="18" t="s">
        <v>58</v>
      </c>
      <c r="D40" s="18">
        <v>2022</v>
      </c>
      <c r="E40" s="18">
        <v>2022</v>
      </c>
      <c r="F40" s="18">
        <v>2022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3">
        <f>2.9138/1.2</f>
        <v>2.4281666666666668</v>
      </c>
      <c r="N40" s="23">
        <f>ROUND(2913800/1000000/1.2,4)</f>
        <v>2.4281999999999999</v>
      </c>
      <c r="O40" s="22">
        <v>0</v>
      </c>
      <c r="P40" s="22">
        <v>0</v>
      </c>
      <c r="Q40" s="22">
        <f t="shared" si="61"/>
        <v>2.4281999999999999</v>
      </c>
      <c r="R40" s="22">
        <f t="shared" si="56"/>
        <v>2.4281999999999999</v>
      </c>
      <c r="S40" s="33" t="s">
        <v>11</v>
      </c>
      <c r="T40" s="32"/>
      <c r="U40" s="32"/>
    </row>
    <row r="41" spans="1:21" ht="63" x14ac:dyDescent="0.25">
      <c r="A41" s="25" t="s">
        <v>52</v>
      </c>
      <c r="B41" s="27" t="s">
        <v>59</v>
      </c>
      <c r="C41" s="18" t="s">
        <v>60</v>
      </c>
      <c r="D41" s="18">
        <v>2023</v>
      </c>
      <c r="E41" s="18">
        <v>2023</v>
      </c>
      <c r="F41" s="18">
        <v>2023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f>ROUND(15.1861/1.2,3)</f>
        <v>12.654999999999999</v>
      </c>
      <c r="P41" s="23">
        <v>0</v>
      </c>
      <c r="Q41" s="22">
        <f t="shared" si="61"/>
        <v>12.654999999999999</v>
      </c>
      <c r="R41" s="22">
        <f t="shared" si="56"/>
        <v>0</v>
      </c>
      <c r="S41" s="32" t="s">
        <v>110</v>
      </c>
      <c r="T41" s="32" t="s">
        <v>89</v>
      </c>
      <c r="U41" s="32" t="s">
        <v>90</v>
      </c>
    </row>
    <row r="42" spans="1:21" ht="31.5" x14ac:dyDescent="0.25">
      <c r="A42" s="25" t="s">
        <v>52</v>
      </c>
      <c r="B42" s="27" t="s">
        <v>70</v>
      </c>
      <c r="C42" s="18" t="s">
        <v>61</v>
      </c>
      <c r="D42" s="18">
        <v>2022</v>
      </c>
      <c r="E42" s="18">
        <v>2022</v>
      </c>
      <c r="F42" s="18">
        <v>2022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3">
        <f>0.81/1.2</f>
        <v>0.67500000000000004</v>
      </c>
      <c r="N42" s="23">
        <f>ROUND(810000/1000000/1.2,3)</f>
        <v>0.67500000000000004</v>
      </c>
      <c r="O42" s="22">
        <v>0</v>
      </c>
      <c r="P42" s="23">
        <v>0</v>
      </c>
      <c r="Q42" s="22">
        <f t="shared" si="61"/>
        <v>0.67500000000000004</v>
      </c>
      <c r="R42" s="22">
        <f t="shared" ref="R42" si="62">H42+J42+L42+N42+P42</f>
        <v>0.67500000000000004</v>
      </c>
      <c r="S42" s="33" t="s">
        <v>11</v>
      </c>
      <c r="T42" s="32"/>
      <c r="U42" s="32"/>
    </row>
    <row r="43" spans="1:21" ht="31.5" x14ac:dyDescent="0.25">
      <c r="A43" s="25" t="s">
        <v>52</v>
      </c>
      <c r="B43" s="27" t="s">
        <v>103</v>
      </c>
      <c r="C43" s="18" t="s">
        <v>104</v>
      </c>
      <c r="D43" s="18">
        <v>2023</v>
      </c>
      <c r="E43" s="18">
        <v>2023</v>
      </c>
      <c r="F43" s="18">
        <v>2023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3">
        <v>0</v>
      </c>
      <c r="N43" s="23">
        <v>0</v>
      </c>
      <c r="O43" s="22">
        <v>0</v>
      </c>
      <c r="P43" s="23">
        <f>ROUND(13/1.2,3)</f>
        <v>10.833</v>
      </c>
      <c r="Q43" s="22">
        <f t="shared" si="61"/>
        <v>0</v>
      </c>
      <c r="R43" s="22">
        <f t="shared" ref="R43" si="63">H43+J43+L43+N43+P43</f>
        <v>10.833</v>
      </c>
      <c r="S43" s="32" t="s">
        <v>97</v>
      </c>
      <c r="T43" s="32" t="s">
        <v>98</v>
      </c>
      <c r="U43" s="32" t="s">
        <v>90</v>
      </c>
    </row>
    <row r="44" spans="1:21" ht="31.5" x14ac:dyDescent="0.25">
      <c r="A44" s="25" t="s">
        <v>52</v>
      </c>
      <c r="B44" s="27" t="s">
        <v>105</v>
      </c>
      <c r="C44" s="18" t="s">
        <v>106</v>
      </c>
      <c r="D44" s="18">
        <v>2023</v>
      </c>
      <c r="E44" s="18">
        <v>2023</v>
      </c>
      <c r="F44" s="18">
        <v>2023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3">
        <v>0</v>
      </c>
      <c r="N44" s="23">
        <v>0</v>
      </c>
      <c r="O44" s="22">
        <v>0</v>
      </c>
      <c r="P44" s="23">
        <f>ROUND(9.43/1.2,3)</f>
        <v>7.8579999999999997</v>
      </c>
      <c r="Q44" s="22">
        <f t="shared" si="61"/>
        <v>0</v>
      </c>
      <c r="R44" s="22">
        <f t="shared" si="56"/>
        <v>7.8579999999999997</v>
      </c>
      <c r="S44" s="32" t="s">
        <v>97</v>
      </c>
      <c r="T44" s="32" t="s">
        <v>98</v>
      </c>
      <c r="U44" s="32" t="s">
        <v>90</v>
      </c>
    </row>
    <row r="46" spans="1:21" ht="67.5" customHeight="1" x14ac:dyDescent="0.3">
      <c r="B46" s="40" t="s">
        <v>84</v>
      </c>
      <c r="S46" s="30" t="s">
        <v>85</v>
      </c>
    </row>
    <row r="53" spans="8:10" x14ac:dyDescent="0.25">
      <c r="H53" s="11"/>
      <c r="J53" s="11"/>
    </row>
  </sheetData>
  <mergeCells count="20">
    <mergeCell ref="A4:U4"/>
    <mergeCell ref="A6:U6"/>
    <mergeCell ref="A7:U7"/>
    <mergeCell ref="A8:R8"/>
    <mergeCell ref="A9:A11"/>
    <mergeCell ref="B9:B11"/>
    <mergeCell ref="C9:C11"/>
    <mergeCell ref="D9:D11"/>
    <mergeCell ref="E9:F10"/>
    <mergeCell ref="S9:S11"/>
    <mergeCell ref="T9:T11"/>
    <mergeCell ref="G9:R9"/>
    <mergeCell ref="U9:U11"/>
    <mergeCell ref="G10:H10"/>
    <mergeCell ref="K10:L10"/>
    <mergeCell ref="M10:N10"/>
    <mergeCell ref="Q10:Q11"/>
    <mergeCell ref="R10:R11"/>
    <mergeCell ref="I10:J10"/>
    <mergeCell ref="O10:P10"/>
  </mergeCells>
  <phoneticPr fontId="25" type="noConversion"/>
  <pageMargins left="0.39370078740157483" right="0.39370078740157483" top="0.39370078740157483" bottom="0.39370078740157483" header="0.31496062992125984" footer="0.31496062992125984"/>
  <pageSetup paperSize="9" scale="35" firstPageNumber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G0228_1157017012448_03_0_69_0</vt:lpstr>
      <vt:lpstr>G0228_1157017012448_03_0_69_0!Заголовки_для_печати</vt:lpstr>
      <vt:lpstr>G0228_1157017012448_03_0_69_0!Область_печати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askue2</dc:creator>
  <cp:lastModifiedBy>USER</cp:lastModifiedBy>
  <cp:lastPrinted>2023-04-05T04:40:04Z</cp:lastPrinted>
  <dcterms:created xsi:type="dcterms:W3CDTF">2018-02-27T12:17:46Z</dcterms:created>
  <dcterms:modified xsi:type="dcterms:W3CDTF">2023-04-05T09:13:51Z</dcterms:modified>
</cp:coreProperties>
</file>