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nerg\Desktop\"/>
    </mc:Choice>
  </mc:AlternateContent>
  <xr:revisionPtr revIDLastSave="0" documentId="8_{20E58EA7-8A3B-4D74-9A3B-EC09C27C6B80}" xr6:coauthVersionLast="47" xr6:coauthVersionMax="47" xr10:uidLastSave="{00000000-0000-0000-0000-000000000000}"/>
  <bookViews>
    <workbookView xWindow="-110" yWindow="-110" windowWidth="25820" windowHeight="15500" firstSheet="1" activeTab="1" xr2:uid="{00000000-000D-0000-FFFF-FFFF00000000}"/>
  </bookViews>
  <sheets>
    <sheet name="Лист1" sheetId="1" state="hidden" r:id="rId1"/>
    <sheet name="СВОД.ПС+ВЛ" sheetId="10" r:id="rId2"/>
    <sheet name="  ПД ПС" sheetId="12" r:id="rId3"/>
    <sheet name="РД ПС" sheetId="13" r:id="rId4"/>
    <sheet name="геодез.ПС" sheetId="7" r:id="rId5"/>
    <sheet name="геолПС" sheetId="8" r:id="rId6"/>
    <sheet name="Экология" sheetId="15" r:id="rId7"/>
    <sheet name="проект планир " sheetId="5" r:id="rId8"/>
    <sheet name="Землеустр ПС" sheetId="9" r:id="rId9"/>
    <sheet name="ЭКСПЕРТИЗА" sheetId="14" r:id="rId10"/>
    <sheet name="ГРАФИК" sheetId="18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Toc247081505" localSheetId="10">ГРАФИК!$O$3</definedName>
    <definedName name="_м1">[1]ПИР!#REF!</definedName>
    <definedName name="ddddd">#REF!</definedName>
    <definedName name="ddddddd">#REF!</definedName>
    <definedName name="Excel___________133333333">#REF!</definedName>
    <definedName name="Excel_BuiltIn_Print_Area_11">#REF!</definedName>
    <definedName name="Excel_BuiltIn_Print_Area_12">#REF!</definedName>
    <definedName name="Excel_BuiltIn_Print_Area_13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3">"$#ССЫЛ!.$#ССЫЛ!$#ССЫЛ!:$#ССЫЛ!$#ССЫЛ!"</definedName>
    <definedName name="Excel_BuiltIn_Print_Area_5">#REF!</definedName>
    <definedName name="Excel_BuiltIn_Print_Area_7">"$#ССЫЛ!.$A$2:$E$5"</definedName>
    <definedName name="Excel_BuiltIn_Print_Area_9">#REF!</definedName>
    <definedName name="Excel_BuiltIn_Print_Titles_12">#REF!</definedName>
    <definedName name="Excel_BuiltIn_Print_Titles_13">#REF!</definedName>
    <definedName name="Excel_BuiltIn_Print_Titles_3">#REF!</definedName>
    <definedName name="Excel_BuiltIn_Print_Titles_3_1">#REF!</definedName>
    <definedName name="Excel_BuiltIn_Print_Titles_4_1">#REF!</definedName>
    <definedName name="Excel_BuiltIn_Print_Titles_4_2">[1]ПИР!#REF!</definedName>
    <definedName name="Excel_BuiltIn_Print_Titles_5">#REF!</definedName>
    <definedName name="Excel_BuiltIn_Print_Titles_8">#REF!</definedName>
    <definedName name="Excel_BuiltIn_Print_Titles_9">#REF!</definedName>
    <definedName name="Excel222">#REF!</definedName>
    <definedName name="EXEL_HJ">#REF!</definedName>
    <definedName name="EXEL_HJ3333">#REF!</definedName>
    <definedName name="Fr">#REF!</definedName>
    <definedName name="fszrfaw\ed">#REF!</definedName>
    <definedName name="gbhghbjnbsjls">#REF!</definedName>
    <definedName name="Times">#REF!</definedName>
    <definedName name="w">#REF!</definedName>
    <definedName name="wedddddd">#REF!</definedName>
    <definedName name="акт">#REF!</definedName>
    <definedName name="ап">#REF!</definedName>
    <definedName name="апорлзжээ\ъоо">#REF!</definedName>
    <definedName name="ваобваоваоваоваоваоваок">#REF!</definedName>
    <definedName name="ВЛ110">[2]Справка!$I$3:$I$35</definedName>
    <definedName name="волс">#REF!</definedName>
    <definedName name="е">#REF!</definedName>
    <definedName name="земля">#REF!</definedName>
    <definedName name="ииивирпвммвпмвпвппвпппппппп">#REF!</definedName>
    <definedName name="Инженерно_геодезические_изыскания_трассы_КВЛ_6_кВ">[3]Сводник!#REF!</definedName>
    <definedName name="ййй">#REF!</definedName>
    <definedName name="йцукк">#REF!</definedName>
    <definedName name="к">#REF!</definedName>
    <definedName name="КАТ1">'[4]Смета-Т'!#REF!</definedName>
    <definedName name="КЛ">[5]Справка!$A$3:$A$31</definedName>
    <definedName name="Конфликтимен">#REF!</definedName>
    <definedName name="Курс_доллара">'[6]Курс доллара'!$A$2</definedName>
    <definedName name="Н333333333333333333333333333333333">#REF!</definedName>
    <definedName name="_xlnm.Print_Area" localSheetId="1">'СВОД.ПС+ВЛ'!$A$1:$M$30</definedName>
    <definedName name="олвао\люфо\юлод\олжыд.алж\лдвыдвлдаото">#REF!</definedName>
    <definedName name="п">#REF!</definedName>
    <definedName name="пир2">#REF!</definedName>
    <definedName name="пова">#REF!</definedName>
    <definedName name="попо">#REF!</definedName>
    <definedName name="пппппппппппппппппп">#REF!</definedName>
    <definedName name="ппр">#REF!</definedName>
    <definedName name="пр">#REF!</definedName>
    <definedName name="прасптвпотсат">#REF!</definedName>
    <definedName name="приоыурволгрыудвцошдущо123564864">#REF!</definedName>
    <definedName name="припЛОУАРТОТУ4ЭЦклэ_">#REF!</definedName>
    <definedName name="про">#REF!</definedName>
    <definedName name="проенра0">#REF!</definedName>
    <definedName name="ПРОСТОАЛУОЮ">#REF!</definedName>
    <definedName name="Рас">[7]Справка!$L$3:$L$8</definedName>
    <definedName name="расет">#REF!</definedName>
    <definedName name="РЗАПС">[8]Справка!$L$3:$L$8</definedName>
    <definedName name="ро">#REF!</definedName>
    <definedName name="с199999999999999999999999999">#REF!</definedName>
    <definedName name="СВОД2">#REF!</definedName>
    <definedName name="солнце">#REF!</definedName>
    <definedName name="СтрПС">[8]Справка!$A$3:$A$31</definedName>
    <definedName name="тегмине111">#REF!</definedName>
    <definedName name="трипмасвч">#REF!</definedName>
    <definedName name="ф">#REF!</definedName>
    <definedName name="х">#REF!</definedName>
    <definedName name="ччч">#REF!</definedName>
    <definedName name="чччч">#REF!</definedName>
    <definedName name="шльрг">#REF!</definedName>
    <definedName name="ыыы">#REF!</definedName>
    <definedName name="э">#REF!</definedName>
    <definedName name="эколог">[9]Справка!$A$3:$A$31</definedName>
    <definedName name="Экология">[10]Справка!$I$3:$I$35</definedName>
    <definedName name="яыуа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6" i="10" l="1"/>
  <c r="C24" i="18"/>
  <c r="C13" i="18"/>
  <c r="B24" i="18"/>
  <c r="C9" i="18"/>
  <c r="C19" i="18"/>
  <c r="C22" i="18"/>
  <c r="C16" i="18"/>
  <c r="M11" i="10"/>
  <c r="U91" i="15"/>
  <c r="K86" i="15"/>
  <c r="U86" i="15" s="1"/>
  <c r="K82" i="15"/>
  <c r="U82" i="15" s="1"/>
  <c r="K72" i="15"/>
  <c r="U72" i="15" s="1"/>
  <c r="U63" i="15"/>
  <c r="U58" i="15"/>
  <c r="K47" i="15"/>
  <c r="K50" i="15" s="1"/>
  <c r="K30" i="15"/>
  <c r="U30" i="15" s="1"/>
  <c r="U26" i="15"/>
  <c r="U21" i="15"/>
  <c r="U16" i="15"/>
  <c r="M12" i="10" l="1"/>
  <c r="U31" i="15"/>
  <c r="H40" i="15" s="1"/>
  <c r="K75" i="15"/>
  <c r="U75" i="15" s="1"/>
  <c r="U50" i="15"/>
  <c r="K51" i="15"/>
  <c r="U47" i="15"/>
  <c r="E14" i="13"/>
  <c r="E15" i="13" s="1"/>
  <c r="E16" i="13" s="1"/>
  <c r="E17" i="13" s="1"/>
  <c r="E18" i="13" s="1"/>
  <c r="E19" i="13" s="1"/>
  <c r="E20" i="13" s="1"/>
  <c r="I12" i="10" s="1"/>
  <c r="I19" i="10" s="1"/>
  <c r="E14" i="12"/>
  <c r="J16" i="12" s="1"/>
  <c r="K7" i="12"/>
  <c r="K10" i="12" s="1"/>
  <c r="M13" i="10" l="1"/>
  <c r="H35" i="15"/>
  <c r="U35" i="15" s="1"/>
  <c r="K40" i="15" s="1"/>
  <c r="U40" i="15" s="1"/>
  <c r="H42" i="15"/>
  <c r="K52" i="15"/>
  <c r="U51" i="15"/>
  <c r="K42" i="15"/>
  <c r="E15" i="12"/>
  <c r="E16" i="12" s="1"/>
  <c r="E17" i="12" s="1"/>
  <c r="E18" i="12" s="1"/>
  <c r="E19" i="12" s="1"/>
  <c r="P13" i="12"/>
  <c r="H13" i="12"/>
  <c r="M14" i="10" l="1"/>
  <c r="M15" i="10" s="1"/>
  <c r="M16" i="10" s="1"/>
  <c r="E20" i="12"/>
  <c r="E23" i="12" s="1"/>
  <c r="H11" i="10" s="1"/>
  <c r="H19" i="10" s="1"/>
  <c r="F16" i="14" s="1"/>
  <c r="U42" i="15"/>
  <c r="U43" i="15" s="1"/>
  <c r="U52" i="15"/>
  <c r="K53" i="15"/>
  <c r="E22" i="12"/>
  <c r="E21" i="12"/>
  <c r="M17" i="10" l="1"/>
  <c r="K54" i="15"/>
  <c r="U53" i="15"/>
  <c r="I23" i="10"/>
  <c r="F25" i="9"/>
  <c r="F21" i="9" s="1"/>
  <c r="R20" i="9" s="1"/>
  <c r="L26" i="8"/>
  <c r="V26" i="8" s="1"/>
  <c r="L21" i="8"/>
  <c r="L32" i="8" s="1"/>
  <c r="I91" i="8" s="1"/>
  <c r="V91" i="8" s="1"/>
  <c r="B9" i="10"/>
  <c r="P35" i="9"/>
  <c r="N35" i="9"/>
  <c r="AB34" i="9"/>
  <c r="P32" i="9"/>
  <c r="N32" i="9"/>
  <c r="AB31" i="9"/>
  <c r="F28" i="9"/>
  <c r="P28" i="9" s="1"/>
  <c r="F23" i="9"/>
  <c r="R22" i="9" s="1"/>
  <c r="F22" i="9"/>
  <c r="T22" i="9" s="1"/>
  <c r="F16" i="9"/>
  <c r="R13" i="9" s="1"/>
  <c r="F10" i="9"/>
  <c r="R8" i="9" s="1"/>
  <c r="F9" i="9"/>
  <c r="P8" i="9" s="1"/>
  <c r="V84" i="8"/>
  <c r="V76" i="8"/>
  <c r="V70" i="8"/>
  <c r="V64" i="8"/>
  <c r="V58" i="8"/>
  <c r="L52" i="8"/>
  <c r="V52" i="8" s="1"/>
  <c r="V21" i="8"/>
  <c r="V23" i="8" s="1"/>
  <c r="V17" i="8"/>
  <c r="L23" i="7"/>
  <c r="L22" i="7"/>
  <c r="L21" i="7"/>
  <c r="L10" i="7"/>
  <c r="L11" i="7" s="1"/>
  <c r="D21" i="5"/>
  <c r="D20" i="5"/>
  <c r="D17" i="5"/>
  <c r="D25" i="5" s="1"/>
  <c r="M18" i="10" l="1"/>
  <c r="M19" i="10" s="1"/>
  <c r="H23" i="10"/>
  <c r="P22" i="9"/>
  <c r="AB20" i="9" s="1"/>
  <c r="F30" i="9"/>
  <c r="N28" i="9" s="1"/>
  <c r="G11" i="5"/>
  <c r="U54" i="15"/>
  <c r="K55" i="15"/>
  <c r="U55" i="15" s="1"/>
  <c r="U67" i="15" s="1"/>
  <c r="V80" i="8"/>
  <c r="I98" i="8" s="1"/>
  <c r="V98" i="8" s="1"/>
  <c r="V101" i="8" s="1"/>
  <c r="I103" i="8" s="1"/>
  <c r="V103" i="8" s="1"/>
  <c r="I24" i="10"/>
  <c r="F27" i="9"/>
  <c r="P26" i="9" s="1"/>
  <c r="AB26" i="9" s="1"/>
  <c r="P10" i="9"/>
  <c r="AB8" i="9" s="1"/>
  <c r="F19" i="9"/>
  <c r="V32" i="8"/>
  <c r="V35" i="8" s="1"/>
  <c r="G18" i="7"/>
  <c r="F17" i="7"/>
  <c r="L17" i="7" s="1"/>
  <c r="E13" i="7"/>
  <c r="L13" i="7" s="1"/>
  <c r="D22" i="5"/>
  <c r="G19" i="5" s="1"/>
  <c r="G26" i="5" s="1"/>
  <c r="K16" i="10" s="1"/>
  <c r="K19" i="10" s="1"/>
  <c r="K23" i="10" l="1"/>
  <c r="F18" i="14"/>
  <c r="I25" i="10"/>
  <c r="I26" i="10" s="1"/>
  <c r="K78" i="15"/>
  <c r="U78" i="15" s="1"/>
  <c r="U94" i="15" s="1"/>
  <c r="H95" i="15" s="1"/>
  <c r="U95" i="15" s="1"/>
  <c r="H24" i="10"/>
  <c r="P15" i="9"/>
  <c r="F14" i="9"/>
  <c r="P13" i="9" s="1"/>
  <c r="AB13" i="9" s="1"/>
  <c r="AB38" i="9" s="1"/>
  <c r="V39" i="8"/>
  <c r="I44" i="8"/>
  <c r="I39" i="8"/>
  <c r="L15" i="7"/>
  <c r="L14" i="7"/>
  <c r="I18" i="7"/>
  <c r="L18" i="7" s="1"/>
  <c r="L20" i="7" s="1"/>
  <c r="J17" i="10" l="1"/>
  <c r="J19" i="10" s="1"/>
  <c r="F19" i="14" s="1"/>
  <c r="K24" i="10"/>
  <c r="K25" i="10"/>
  <c r="H25" i="10"/>
  <c r="H26" i="10" s="1"/>
  <c r="H97" i="15"/>
  <c r="U97" i="15" s="1"/>
  <c r="U99" i="15" s="1"/>
  <c r="L44" i="8"/>
  <c r="V44" i="8" s="1"/>
  <c r="V48" i="8" s="1"/>
  <c r="V108" i="8" s="1"/>
  <c r="I109" i="8" s="1"/>
  <c r="V109" i="8" s="1"/>
  <c r="H24" i="7"/>
  <c r="L24" i="7" s="1"/>
  <c r="L25" i="7" s="1"/>
  <c r="L26" i="7" s="1"/>
  <c r="L27" i="7" s="1"/>
  <c r="L28" i="7" s="1"/>
  <c r="G13" i="10" s="1"/>
  <c r="J23" i="10" l="1"/>
  <c r="H100" i="15"/>
  <c r="U100" i="15" s="1"/>
  <c r="H102" i="15"/>
  <c r="U102" i="15" s="1"/>
  <c r="H104" i="15" s="1"/>
  <c r="U104" i="15" s="1"/>
  <c r="H107" i="15" s="1"/>
  <c r="U107" i="15" s="1"/>
  <c r="G15" i="10" s="1"/>
  <c r="V110" i="8"/>
  <c r="I110" i="8"/>
  <c r="J24" i="10" l="1"/>
  <c r="V111" i="8"/>
  <c r="I111" i="8"/>
  <c r="G14" i="10" l="1"/>
  <c r="G19" i="10" s="1"/>
  <c r="F17" i="14" s="1"/>
  <c r="F20" i="14" s="1"/>
  <c r="F21" i="14" s="1"/>
  <c r="J25" i="10"/>
  <c r="F22" i="14" l="1"/>
  <c r="F23" i="14"/>
  <c r="L18" i="10" s="1"/>
  <c r="L19" i="10" s="1"/>
  <c r="L23" i="10" s="1"/>
  <c r="G23" i="10"/>
  <c r="M23" i="10" l="1"/>
  <c r="G24" i="10"/>
  <c r="G25" i="10" s="1"/>
  <c r="G26" i="10" s="1"/>
  <c r="L24" i="10"/>
  <c r="M24" i="10" s="1"/>
  <c r="L25" i="10" l="1"/>
  <c r="L26" i="10" s="1"/>
  <c r="M25" i="10"/>
  <c r="K27" i="10"/>
  <c r="J27" i="10"/>
  <c r="M27" i="10"/>
</calcChain>
</file>

<file path=xl/sharedStrings.xml><?xml version="1.0" encoding="utf-8"?>
<sst xmlns="http://schemas.openxmlformats.org/spreadsheetml/2006/main" count="631" uniqueCount="390">
  <si>
    <t>ВЛ 110 кВ Томмот – Южный Куст</t>
  </si>
  <si>
    <t>ПС 110кВ Южный Куст</t>
  </si>
  <si>
    <t>Наименование предприятия, здания, сооружения, стадии проектирования, этапа, вида проектных или изыскательских работ</t>
  </si>
  <si>
    <t>Наименование проектной (изыскательской) организации</t>
  </si>
  <si>
    <t>Наименование организации заказчика</t>
  </si>
  <si>
    <t>№ п/п</t>
  </si>
  <si>
    <t>№ таблиц, расценки, параграф, позиции,  к СБЦ 2004г</t>
  </si>
  <si>
    <t>Наименование работ</t>
  </si>
  <si>
    <t>Ед.изм.</t>
  </si>
  <si>
    <t>Кол- во</t>
  </si>
  <si>
    <t>Стоимость единицы измерения, коэффициенты, руб.</t>
  </si>
  <si>
    <t>Общая стоимость,руб.</t>
  </si>
  <si>
    <t>I. Полевые работы</t>
  </si>
  <si>
    <t>1</t>
  </si>
  <si>
    <t xml:space="preserve"> II. Камеральные работы:</t>
  </si>
  <si>
    <t>2</t>
  </si>
  <si>
    <t>Итого по камеральным работам:</t>
  </si>
  <si>
    <t>Итого по изысканиям:</t>
  </si>
  <si>
    <t>III.Транспорт</t>
  </si>
  <si>
    <t>3</t>
  </si>
  <si>
    <t>% см. ст. полевых работ</t>
  </si>
  <si>
    <t>4</t>
  </si>
  <si>
    <t>Общие указания п.13</t>
  </si>
  <si>
    <t xml:space="preserve">Расходы по организации и ликвидации работ </t>
  </si>
  <si>
    <t>*   (</t>
  </si>
  <si>
    <t>+</t>
  </si>
  <si>
    <t>)</t>
  </si>
  <si>
    <t>Итого по транспорту:</t>
  </si>
  <si>
    <t>% см. ст. полевых и кам. работ</t>
  </si>
  <si>
    <t>Непредвиденные расходы</t>
  </si>
  <si>
    <t>ИТОГО:</t>
  </si>
  <si>
    <t>Общие указания   табл.3 (Районный коэффициент  - 1,4 Республика Алтай, коэффициент к сметной стоимости К=1,2)</t>
  </si>
  <si>
    <t>Итого в ценах 2001 г.</t>
  </si>
  <si>
    <t>Характеристика предприятий, здания, сооружений или виды работ.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</si>
  <si>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строительства.</t>
  </si>
  <si>
    <t xml:space="preserve">Расчет стоимости :  (а+bx) * Ki,            или                                                        (объём строительно-монтажных работ) * процент/100,                                                или  количество * цена.                                      </t>
  </si>
  <si>
    <t>Стоимость.  (руб.)</t>
  </si>
  <si>
    <t>Полевые работы (инженерно-геологические)</t>
  </si>
  <si>
    <t>м, глубина скважины</t>
  </si>
  <si>
    <t>*</t>
  </si>
  <si>
    <t>=</t>
  </si>
  <si>
    <t xml:space="preserve">Сборник цен на изыскательские работы для капитального строительства, табл. 282, § 1, К=1,5 письмо от 25.12.1990 №21-д </t>
  </si>
  <si>
    <t>Итого полевых работ:</t>
  </si>
  <si>
    <t>Сопутствующие работы</t>
  </si>
  <si>
    <t xml:space="preserve">Расходы по организации и ликвидации. </t>
  </si>
  <si>
    <t xml:space="preserve">То же.Общие указания пункт 13.  </t>
  </si>
  <si>
    <t>(</t>
  </si>
  <si>
    <t>) *</t>
  </si>
  <si>
    <t>Итого лабораторных работ :</t>
  </si>
  <si>
    <t>Камеральные работы:</t>
  </si>
  <si>
    <t xml:space="preserve"> Итого камеральных работ :</t>
  </si>
  <si>
    <t>Общие указания  , табл.3  (Районный коэффициент  - 1,4 коэффициент к сметной стоимости К=1,2)</t>
  </si>
  <si>
    <t>С применением индекса изменения сметной стоимости строительства на 3 квартал 2022 года k=58,26</t>
  </si>
  <si>
    <t>Виды проектно-изыскательских работ</t>
  </si>
  <si>
    <t>Название сборника цен, номера таблиц, пунктов, указаний к разделу или главе</t>
  </si>
  <si>
    <t>Расчёт стоимости</t>
  </si>
  <si>
    <t>Стоимость, руб.</t>
  </si>
  <si>
    <t>1. Подготовка землеустроительного дела по отводу земель</t>
  </si>
  <si>
    <t>Сборник цен и ОНЗТ., Москва., 1997                                      Таблица № 73</t>
  </si>
  <si>
    <t>Ка(8)=1,0+0,10*(2-1)=</t>
  </si>
  <si>
    <t>п.14 ОУ, прил.1, 2</t>
  </si>
  <si>
    <t>III</t>
  </si>
  <si>
    <t>2. Составление и вычерчивание плана границ земельного участка</t>
  </si>
  <si>
    <t>Сборник цен и ОНЗТ., Москва., 1997                                      Таблица № 75</t>
  </si>
  <si>
    <t>I</t>
  </si>
  <si>
    <t>Площадь земельного участка, тыс.га</t>
  </si>
  <si>
    <t>3. Описание и согласование границ земельного участка</t>
  </si>
  <si>
    <t>Сборник цен и ОНЗТ., Москва., 1997                                     Таблица № 77</t>
  </si>
  <si>
    <t>Кв(7)=1,5</t>
  </si>
  <si>
    <t>Протяжённость границы, км</t>
  </si>
  <si>
    <t>4. Установление границ земельного участка</t>
  </si>
  <si>
    <t>Протяжённость границы,км</t>
  </si>
  <si>
    <t>5. Формирование межевого плана, утверждение схемы з/у на КПТ</t>
  </si>
  <si>
    <t>Сборник цен и ОНЗТ., Москва., 1997                                      Приложение 12</t>
  </si>
  <si>
    <t>Цена проектно-изыскательской продукции</t>
  </si>
  <si>
    <t>чел.-дн.</t>
  </si>
  <si>
    <t>6. Сопровождение при постановке на ГКУ</t>
  </si>
  <si>
    <t>Стоимость земельно-кадастровых работ по ОНЗТ 1997г.:</t>
  </si>
  <si>
    <t>Смета № 2.6</t>
  </si>
  <si>
    <t xml:space="preserve">на выполнение проекта планировки и межевания территории </t>
  </si>
  <si>
    <t>Наименование объекта</t>
  </si>
  <si>
    <t>№ 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</si>
  <si>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</si>
  <si>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</t>
  </si>
  <si>
    <t>Расчет стоимости</t>
  </si>
  <si>
    <t>Стоимость,       
руб</t>
  </si>
  <si>
    <t>СБЦ-2010 "Территориальное планирование и планировка территорий" табл. №3 п.3</t>
  </si>
  <si>
    <t>а, тыс.руб.=</t>
  </si>
  <si>
    <t>в, тыс.руб.=</t>
  </si>
  <si>
    <t>К( п.3.2 МУ № 620  типовой привязки)=</t>
  </si>
  <si>
    <t>К( Табл. №9)=</t>
  </si>
  <si>
    <t>Проект межевания территории</t>
  </si>
  <si>
    <t>СБЦ-2010 "Территориальное планирование и планировка территорий" табл. №3 п.1</t>
  </si>
  <si>
    <t>Площаль территории=</t>
  </si>
  <si>
    <t>К (п.2 ОУ СБЦ)=</t>
  </si>
  <si>
    <t>К( п.3.2 типовой привязки)=</t>
  </si>
  <si>
    <t>ИТОГО в ценах 2001 г.:</t>
  </si>
  <si>
    <t xml:space="preserve">Расходы по внутреннему транспорту. Расстояние до 5 км. </t>
  </si>
  <si>
    <t>То же.Табл. 4 § 1</t>
  </si>
  <si>
    <t>/</t>
  </si>
  <si>
    <t>Инженерно-геодезические изыскания ПС</t>
  </si>
  <si>
    <t xml:space="preserve">То же Табл. 9 §5
</t>
  </si>
  <si>
    <t xml:space="preserve">Создание инженерно-топографических планов(М 1:500)
Категория сложности - II (Незастроенная территория)
</t>
  </si>
  <si>
    <t>1 га</t>
  </si>
  <si>
    <t>Итого по полевы работам:</t>
  </si>
  <si>
    <t>То же Табл. 9 §5
общие указания п.15д</t>
  </si>
  <si>
    <t>Создание инженерно-топографических планов (М 1:500)
Категория сложности - II (Незастроенная территория)</t>
  </si>
  <si>
    <t>То же Табл. 4 §1</t>
  </si>
  <si>
    <t>Расходы по внутреннему транспорту при расстоянии  до 5 км</t>
  </si>
  <si>
    <t>Инженерно-геодезические изыскания (2004г.). Табл.  81-2</t>
  </si>
  <si>
    <t>Выдача координат пунктов ГГС</t>
  </si>
  <si>
    <t>1 пункт</t>
  </si>
  <si>
    <t>Инженерно-геодезические изыскания (2004г.). Табл. 81-3</t>
  </si>
  <si>
    <t>Выдача высот пунктов ГГС</t>
  </si>
  <si>
    <t>Инженерно-геодезические изыскания (2004г.). Табл. 81-4</t>
  </si>
  <si>
    <t>Выдача справок и картограмм по топографо-геодезической изученности</t>
  </si>
  <si>
    <t>1 экз.</t>
  </si>
  <si>
    <t>Инженерно-геодезические изыскания (2004г.). Общие указания п.18</t>
  </si>
  <si>
    <t>Итого по пунктам 5-8</t>
  </si>
  <si>
    <t>на выполнение инженерно-геологических изысканий ПС</t>
  </si>
  <si>
    <r>
      <t xml:space="preserve">Планово - высотная привязка скважин 3 кат. Объем - </t>
    </r>
    <r>
      <rPr>
        <sz val="12"/>
        <color rgb="FF0070C0"/>
        <rFont val="Times New Roman"/>
        <family val="1"/>
        <charset val="204"/>
      </rPr>
      <t>5 на ПС+3на РП=8</t>
    </r>
    <r>
      <rPr>
        <sz val="12"/>
        <rFont val="Times New Roman"/>
        <family val="1"/>
        <charset val="204"/>
      </rPr>
      <t xml:space="preserve"> шт.</t>
    </r>
  </si>
  <si>
    <t>Справочник базовых цен
на инженерно-геологические и инженерно-экологические 
изыскания для строительства
 (письмо от 22.06.1998 г., № 9-4/84).Табл.93</t>
  </si>
  <si>
    <t>шт., скважин</t>
  </si>
  <si>
    <t xml:space="preserve">Колонковое бурение скважин диаметром до 160 мм глубиной до 10 м </t>
  </si>
  <si>
    <t>Инженерно-геологические и инженерно-экологические изыскания (1999г.)  Табл. 17-1-2</t>
  </si>
  <si>
    <t>Итого буровых работ:</t>
  </si>
  <si>
    <t>Инженерно-геологические и инженерно-экологические изыскания (1999г.) Табл. 57-1-1</t>
  </si>
  <si>
    <t>Инженерно-геологические и инженерно-экологические изыскания (1999г.) Табл. 18-1-1</t>
  </si>
  <si>
    <t>Итого сопутствующих работ:</t>
  </si>
  <si>
    <r>
      <t xml:space="preserve">            </t>
    </r>
    <r>
      <rPr>
        <b/>
        <sz val="12"/>
        <rFont val="Times New Roman"/>
        <family val="1"/>
        <charset val="204"/>
      </rPr>
      <t xml:space="preserve"> Лабораторные работы</t>
    </r>
  </si>
  <si>
    <t>Полный комплекс определений физических свойств и механической прочности прочных пород скальных и полускальных грунтов. Измеритель-1 опр.     Объем: 3 образ.</t>
  </si>
  <si>
    <t>Инженерно-геологические и инженерно-экологические изыскания (1999г.) Табл. 68-2</t>
  </si>
  <si>
    <t xml:space="preserve">Стандартный химический состав воды. Измеритель-1 обр. Объем-3 опр. </t>
  </si>
  <si>
    <t>Инженерно-геологические и инженерно-экологические изыскания (1999г.) Табл. 73-2</t>
  </si>
  <si>
    <t xml:space="preserve">Коррозионная активность грунтов к стали. Измеритель-1 шт.  Объем-3. </t>
  </si>
  <si>
    <t>Инженерно-геологические и инженерно-экологические изыскания (1999г.) Табл. 75-4</t>
  </si>
  <si>
    <t>Коррозионная активность грунтов по отношению к бетону.           Измеритель-1 шт.  Объем-3</t>
  </si>
  <si>
    <t>Инженерно-геологические и инженерно-экологические изыскания (1999г.) Табл. 75-5</t>
  </si>
  <si>
    <t>Измерение удельного электрического сопротивления грунтов четырехэлектродной установкой при расстоянии между точками  до 100 м , Категория сложности 1. Объем: 1 изм</t>
  </si>
  <si>
    <t xml:space="preserve">Составление программы. Площадь до 1 кв. км. Глубина св.5 до 10 м. </t>
  </si>
  <si>
    <t xml:space="preserve">Инженерно-геологические и инженерно-экологические изыскания (1999г.) Табл. 81-2-1          к=1,25 согласно прим. 1 к табл.81                                         </t>
  </si>
  <si>
    <t xml:space="preserve">Камеральная обработка полевых работ с гидрогеологическими наблюдениями  ll кат. Объем 50 м.пог. </t>
  </si>
  <si>
    <t>Инженерно-геологические и инженерно-экологические изыскания (1999г.) Табл. 82-2-2</t>
  </si>
  <si>
    <t>Камеральная обработка лабораторных исследований скальных и полускальных грунтов</t>
  </si>
  <si>
    <t>Инженерно-геологические и инженерно-экологические изыскания (1999г.) Табл. 86-3</t>
  </si>
  <si>
    <t>Составление технич. Отчета</t>
  </si>
  <si>
    <t xml:space="preserve">Инженерно-геологические и инженерно-экологические изыскания (1999г.)Табл. 87-2-1 </t>
  </si>
  <si>
    <t>Итого по поз. 1-15 :</t>
  </si>
  <si>
    <t>на выполнение комплекса землеустроительных работ ПС</t>
  </si>
  <si>
    <t>Ка(2)=1,0-090*(1-0,00015)=</t>
  </si>
  <si>
    <t>Ка(2)=1,0-0,45(2-0,00015)=</t>
  </si>
  <si>
    <t>Ка(8)=1,0+0,10(3-1)=</t>
  </si>
  <si>
    <t>Ка(2)=1-0,02(40-0,16)=</t>
  </si>
  <si>
    <t>Кв(5)=1,0+0,01(3-1)=</t>
  </si>
  <si>
    <t>Сборник цен и ОНЗТ., Москва., 1997                                      Таблица № 114, 2 категория сложности</t>
  </si>
  <si>
    <t>Ка(2)=1,0-0,06(15-0,16)=</t>
  </si>
  <si>
    <t>ООО Томскэлектросетьпроект</t>
  </si>
  <si>
    <t>Сводный расчет</t>
  </si>
  <si>
    <t>Стадия проектирования</t>
  </si>
  <si>
    <t>Наименование проектной организации</t>
  </si>
  <si>
    <t>№№ п/п</t>
  </si>
  <si>
    <t>Номера сметных расчетов</t>
  </si>
  <si>
    <t>Наименование глав, объектов, работ и затрат</t>
  </si>
  <si>
    <t>Изыскания</t>
  </si>
  <si>
    <t>ПД</t>
  </si>
  <si>
    <t>РД</t>
  </si>
  <si>
    <t>Землеустроительные работы</t>
  </si>
  <si>
    <t>Экспертиза (без методики)</t>
  </si>
  <si>
    <t xml:space="preserve">Инженерно-геодезические изыскания ПС </t>
  </si>
  <si>
    <t>Инженерно-геологические изыскания  ПС</t>
  </si>
  <si>
    <t>Землеустроительные (кадастровые) работы ПС</t>
  </si>
  <si>
    <t>Всего проектно-изыскательских работ в ценах 2001 г</t>
  </si>
  <si>
    <t>Индекс изменения стоимости проектно-изыскательских работ на 3 кв 2022 (Письмо Минстроя РФ от 05.08.2022 №39010-ИФ/09)</t>
  </si>
  <si>
    <t>Индекс изменения цен для землеустраительных работ (Приказ Росземкадастра от 10.01.2003 г. № НК/25, Приказ Минэкономразвития РФ от 28 октября 2021 г. № 654)</t>
  </si>
  <si>
    <t>Итого</t>
  </si>
  <si>
    <t>НДС 20%</t>
  </si>
  <si>
    <t>Площаль территории=(310000Х50/10000)= га</t>
  </si>
  <si>
    <t>Строительство ПС 110 кв</t>
  </si>
  <si>
    <t>Индекс изменения цен для экспертизы на 2022 г (Письмо Минстроя РФ от 17.01.2022 г №01-01-17/1106-НБ)</t>
  </si>
  <si>
    <t xml:space="preserve">Проект планировки территории при площади проектируемой территории свыше 25                                                                                </t>
  </si>
  <si>
    <r>
      <rPr>
        <sz val="12"/>
        <color rgb="FFFF0000"/>
        <rFont val="Times New Roman"/>
        <family val="1"/>
        <charset val="204"/>
      </rPr>
      <t>II категории</t>
    </r>
    <r>
      <rPr>
        <sz val="12"/>
        <color rgb="FF0070C0"/>
        <rFont val="Times New Roman"/>
        <family val="1"/>
        <charset val="204"/>
      </rPr>
      <t xml:space="preserve"> Объем: 8*7</t>
    </r>
  </si>
  <si>
    <t xml:space="preserve">Отбор монолитов из скважин глубиной до 10.0 м.                      Объем: 8 скважин        </t>
  </si>
  <si>
    <r>
      <t>Гидрогеологические наблюдения при бурении. Объем -</t>
    </r>
    <r>
      <rPr>
        <sz val="12"/>
        <color rgb="FF0070C0"/>
        <rFont val="Times New Roman"/>
        <family val="1"/>
        <charset val="204"/>
      </rPr>
      <t xml:space="preserve"> 8*7 м</t>
    </r>
    <r>
      <rPr>
        <sz val="12"/>
        <rFont val="Times New Roman"/>
        <family val="1"/>
        <charset val="204"/>
      </rPr>
      <t xml:space="preserve"> </t>
    </r>
  </si>
  <si>
    <t>Директор                                                   П.В. Калинин</t>
  </si>
  <si>
    <t>Директор                                                               П.В. Калинин</t>
  </si>
  <si>
    <t>Директор                                                    П.В. Калинин</t>
  </si>
  <si>
    <t>Директор                                                                    П.В. Калинин</t>
  </si>
  <si>
    <t>Итого  в уровне 2001года с учетом инф. коэффициента К( 4 кв.2022)=58,26/5,12</t>
  </si>
  <si>
    <t>Директор                                                                          П.В. Калинин</t>
  </si>
  <si>
    <t>№</t>
  </si>
  <si>
    <t>Номера частей, глав, таблиц, параграфов и пунктов, указаний к разделу или главе сборника цен на проектные и изыскательские работы для строительства</t>
  </si>
  <si>
    <t>Расчет стоимости а+вх. или (объем строительно-монтажных работ)х%100ли количество х цена</t>
  </si>
  <si>
    <t>Стоимость (тыс.руб.)</t>
  </si>
  <si>
    <t>Стоимость строительства в ценах на 01.01.2001</t>
  </si>
  <si>
    <t>К=1,25 п.2.2.4 стр.7Методич. указа-ния по применению СБЦ 2010 г (МУ1</t>
  </si>
  <si>
    <t>Стоимость разработки проектной  документации  в ценах  на 4  квартал 2022г</t>
  </si>
  <si>
    <t xml:space="preserve">К4= 5,22 индекс изменения сметной стоимости к уровню цен на 01.01.2001 (Приложение №2 к письму Минстроя от </t>
  </si>
  <si>
    <t>Стоимость разработки проектной докумен-тации с учетом районного коэффициента в ценах  на 4  квартал2022</t>
  </si>
  <si>
    <t xml:space="preserve">К3 = 1,15 районный коэффициент на про-ектные работы (По-становление Прави-тельства </t>
  </si>
  <si>
    <t xml:space="preserve">К1=0,4  ПД 
Письмо Минрегиона РФ
№14551-СМ/08
от 17.06.2008
</t>
  </si>
  <si>
    <r>
      <t>Стоимость разработки Основных техни-ческих решений (</t>
    </r>
    <r>
      <rPr>
        <sz val="12"/>
        <color rgb="FFFF0000"/>
        <rFont val="Times New Roman"/>
        <family val="1"/>
        <charset val="204"/>
      </rPr>
      <t>ОТР</t>
    </r>
    <r>
      <rPr>
        <sz val="12"/>
        <color theme="1"/>
        <rFont val="Times New Roman"/>
        <family val="1"/>
        <charset val="204"/>
      </rPr>
      <t>)  в ценах  4  квар-тал а 2022г</t>
    </r>
  </si>
  <si>
    <t>Общие указания по при-менению справочников базовых цен на проектные работы для строительст-ва», Утвержденные Поста-новлением Госстроя Рос-сии от 07.08.2002 №102гК6 = 0,4 к ценам на разра-ботку проектной докумен-тации,  Раздел III, п.13, 2 абзац</t>
  </si>
  <si>
    <r>
      <t>СБЦ "Объекты энергетики. Электросетевые объекты. Электросетевые объекты". 2</t>
    </r>
    <r>
      <rPr>
        <sz val="10"/>
        <color rgb="FFFF0000"/>
        <rFont val="Times New Roman"/>
        <family val="1"/>
        <charset val="204"/>
      </rPr>
      <t>016г. П. 1.7  табл26п8,9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0,33% от общей стоимости проектирования на стадии ПД</t>
    </r>
  </si>
  <si>
    <r>
      <t>СБЦ "Объекты энергетики. Электросетевые объекты. Электросетевые объекты". 2</t>
    </r>
    <r>
      <rPr>
        <sz val="10"/>
        <color rgb="FFFF0000"/>
        <rFont val="Times New Roman"/>
        <family val="1"/>
        <charset val="204"/>
      </rPr>
      <t>016г. П. 1.7  табл26п8,9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0 7% от общей стоимости проектирования на стадии ПД</t>
    </r>
  </si>
  <si>
    <t xml:space="preserve">ИТОГО </t>
  </si>
  <si>
    <t>Директору  ООО «ЭЛЕКТРОСЕТИ»</t>
  </si>
  <si>
    <t>В.А. Макаренко</t>
  </si>
  <si>
    <t xml:space="preserve">Тел /факс: (382-3) 77-49-86, </t>
  </si>
  <si>
    <t>e-mail: ges@tomsk-7.ru</t>
  </si>
  <si>
    <t xml:space="preserve">           Для определения стоимости проектных работ по   ПС 110 кВ ГПП702  </t>
  </si>
  <si>
    <t xml:space="preserve">        </t>
  </si>
  <si>
    <t xml:space="preserve">          по  Справочнику базовых цен на проектные работы  в  строительстве.СБЦП  </t>
  </si>
  <si>
    <r>
      <rPr>
        <sz val="12"/>
        <color theme="1"/>
        <rFont val="Arial"/>
        <family val="2"/>
        <charset val="204"/>
      </rPr>
      <t xml:space="preserve"> «</t>
    </r>
    <r>
      <rPr>
        <sz val="12"/>
        <color theme="1"/>
        <rFont val="Calibri"/>
        <family val="2"/>
        <charset val="204"/>
        <scheme val="minor"/>
      </rPr>
      <t xml:space="preserve">Объекты энергетики.  Электросетевые  объекты.» приняты проект-аналог </t>
    </r>
    <r>
      <rPr>
        <b/>
        <sz val="12"/>
        <color theme="1"/>
        <rFont val="Calibri"/>
        <family val="2"/>
        <charset val="204"/>
        <scheme val="minor"/>
      </rPr>
      <t xml:space="preserve"> </t>
    </r>
  </si>
  <si>
    <r>
      <t xml:space="preserve"> </t>
    </r>
    <r>
      <rPr>
        <b/>
        <sz val="12"/>
        <color theme="1"/>
        <rFont val="Calibri"/>
        <family val="2"/>
        <charset val="204"/>
        <scheme val="minor"/>
      </rPr>
      <t>по объекту «Реконструкция эл. оборудования ГПП-702»  Рабочая  документация</t>
    </r>
  </si>
  <si>
    <t>Рабочая  документация</t>
  </si>
  <si>
    <t xml:space="preserve">  № 55- СМ-т.2.1, разработанный ООО «Томскэлектросетьпроект» в 2017 г. . </t>
  </si>
  <si>
    <t xml:space="preserve">. Для расчета принята сумма 112 213,12тыс руб. в ценах 2000г. по главам  1- 12. </t>
  </si>
  <si>
    <t>112213,12 х1,25</t>
  </si>
  <si>
    <t xml:space="preserve">Базовая цена на разработку проект-ной и рабочей документации в це-нах на 01.01.01 при стоимости строительства 140266400.руб
Процент базовой цены от общей стоимости  строительства К=4,036151
</t>
  </si>
  <si>
    <t xml:space="preserve">СБЦП 81-02-24-2001. «Объекты энергетики, Электросетевые объек-ты»  табл.1К1=4,036151
Письмо Минрегиона РФ
№14551-СМ/08
от 17.06.2008
</t>
  </si>
  <si>
    <t xml:space="preserve">140266,400 х 4,036151 /100
</t>
  </si>
  <si>
    <t>5661,364 х5,22</t>
  </si>
  <si>
    <t>29552,319 х 1,15</t>
  </si>
  <si>
    <t>Стоимость разработ ки проектной докумен-тации с учетом районного коэффициента в ценах  на 4  квартал2022</t>
  </si>
  <si>
    <t xml:space="preserve"> 33985,166х 0,4</t>
  </si>
  <si>
    <r>
      <t>Стоимость разработки рсметной документации (</t>
    </r>
    <r>
      <rPr>
        <sz val="10"/>
        <color rgb="FFFF0000"/>
        <rFont val="Times New Roman"/>
        <family val="1"/>
        <charset val="204"/>
      </rPr>
      <t>СД</t>
    </r>
    <r>
      <rPr>
        <sz val="10"/>
        <rFont val="Times New Roman"/>
        <family val="1"/>
        <charset val="204"/>
      </rPr>
      <t>)           в текущих ценах</t>
    </r>
  </si>
  <si>
    <r>
      <t xml:space="preserve">Стоимость разработки раздела </t>
    </r>
    <r>
      <rPr>
        <sz val="10"/>
        <color rgb="FFFF0000"/>
        <rFont val="Times New Roman"/>
        <family val="1"/>
        <charset val="204"/>
      </rPr>
      <t>ТЧКД</t>
    </r>
    <r>
      <rPr>
        <sz val="10"/>
        <color theme="1"/>
        <rFont val="Times New Roman"/>
        <family val="1"/>
        <charset val="204"/>
      </rPr>
      <t xml:space="preserve">  в ценах  4  квартал а 2022г</t>
    </r>
  </si>
  <si>
    <t>Проектная и рабочая документация.  Корректировка</t>
  </si>
  <si>
    <t>Стоимость разработ ки проектной докумен-тации с учетом районного коэффициента в ценах  на 4  квартал2023</t>
  </si>
  <si>
    <t xml:space="preserve"> 33985,166х 0,6</t>
  </si>
  <si>
    <t xml:space="preserve">К1=0,6  РД 
Письмо Минрегиона РФ
№14551-СМ/08
от 17.06.2008
</t>
  </si>
  <si>
    <t>СМЕТА № 2</t>
  </si>
  <si>
    <t xml:space="preserve"> «Реконструкция эл. оборудования ГПП-702»  </t>
  </si>
  <si>
    <t xml:space="preserve">          по  Справочнику базовых цен на проектные работы  в  строительстве.СБЦП  «Объекты энергетики.  Электросетевые  </t>
  </si>
  <si>
    <r>
      <rPr>
        <sz val="12"/>
        <color theme="1"/>
        <rFont val="Arial"/>
        <family val="2"/>
        <charset val="204"/>
      </rPr>
      <t xml:space="preserve">       </t>
    </r>
    <r>
      <rPr>
        <sz val="12"/>
        <color theme="1"/>
        <rFont val="Calibri"/>
        <family val="2"/>
        <charset val="204"/>
        <scheme val="minor"/>
      </rPr>
      <t xml:space="preserve">  объекты.» приняты проект-аналог </t>
    </r>
    <r>
      <rPr>
        <b/>
        <sz val="12"/>
        <color theme="1"/>
        <rFont val="Calibri"/>
        <family val="2"/>
        <charset val="204"/>
        <scheme val="minor"/>
      </rPr>
      <t xml:space="preserve"> по объекту «Реконструкция эл. оборудования ГПП-702»  Рабочая  документация</t>
    </r>
  </si>
  <si>
    <t xml:space="preserve">          № 55- СМ-т.2.1, разработанный ООО «Томскэлектросетьпроект» в 2017 г. . Для расчета принята сумма </t>
  </si>
  <si>
    <t xml:space="preserve">.           112 213,12тыс руб. в ценах 2000г. по главам  1- 12. </t>
  </si>
  <si>
    <t xml:space="preserve">                   Наименование организации-заказчикаи     ООО «ЭЛЕКТРОСЕТИ»</t>
  </si>
  <si>
    <t xml:space="preserve">                 Наименование проектной  организации      ООО «Томскэлектросетьпроект»</t>
  </si>
  <si>
    <t xml:space="preserve">             на проектные  работы по ПС - Рабочая документация</t>
  </si>
  <si>
    <t>Стоимость разработки проектной документации с учетом  коэффици - ента на корректировку</t>
  </si>
  <si>
    <t xml:space="preserve">     .      Ккор ПД  =   50%</t>
  </si>
  <si>
    <t>20391,1х0,5</t>
  </si>
  <si>
    <t>ИТОГО РД</t>
  </si>
  <si>
    <t>Директор                                             П.В. Калинин</t>
  </si>
  <si>
    <t>13594х0,5</t>
  </si>
  <si>
    <t>6797,033х 0,10</t>
  </si>
  <si>
    <t>6797,033х 0,07</t>
  </si>
  <si>
    <t>на проектные  работы по ПС - Проектнаядокументация</t>
  </si>
  <si>
    <t xml:space="preserve">СБЦП 81-02-24-2001. «Объекты энергетики, Электросетевые объек-ты»  табл.1     К1=4,036151
Письмо Минрегиона РФ
№14551-СМ/08
от 17.06.2008
</t>
  </si>
  <si>
    <t>Расчет стоимости а+вх. или (объем строительно-монтажных работ)х%</t>
  </si>
  <si>
    <t>Стоимость</t>
  </si>
  <si>
    <t>п/п</t>
  </si>
  <si>
    <t>(тыс.руб.)</t>
  </si>
  <si>
    <t>или количество х цена</t>
  </si>
  <si>
    <t>Стоимость ПД</t>
  </si>
  <si>
    <t>ППТ и ПМТ</t>
  </si>
  <si>
    <t>Стоимость землеустроительных работ  по ПС</t>
  </si>
  <si>
    <t>Итого проектно изыскательских работ</t>
  </si>
  <si>
    <t>Постановление пра вительства РФ от 05.03.07г №145(П0</t>
  </si>
  <si>
    <t>ИТОГО</t>
  </si>
  <si>
    <t xml:space="preserve">   </t>
  </si>
  <si>
    <r>
      <t xml:space="preserve">                Руководитель проектной организации</t>
    </r>
    <r>
      <rPr>
        <sz val="12"/>
        <color theme="1"/>
        <rFont val="Times New Roman"/>
        <family val="1"/>
        <charset val="204"/>
      </rPr>
      <t xml:space="preserve"> ____</t>
    </r>
  </si>
  <si>
    <t>ООО «ЭЛЕКТРОСЕТИ»</t>
  </si>
  <si>
    <t xml:space="preserve">        Экспертиза  проектно сметной документации</t>
  </si>
  <si>
    <t xml:space="preserve">   Наименование проектной  организации      ООО «Томскэлектросетьпроект»</t>
  </si>
  <si>
    <t xml:space="preserve">    Наименование организации-заказчикаи     ООО «ЭЛЕКТРОСЕТИ»</t>
  </si>
  <si>
    <t xml:space="preserve"> Итого стоимость экспертизы  проектных и изыскательских работ  </t>
  </si>
  <si>
    <t>Определение  стоимости экспертизы  проектных и изыскательских работ  в ценах2001г</t>
  </si>
  <si>
    <t xml:space="preserve">Итого стоимость экспертизы  сметной документации  </t>
  </si>
  <si>
    <t>СМЕТА №  2.7</t>
  </si>
  <si>
    <t>на выполнение инженерно-экологических изысканий</t>
  </si>
  <si>
    <t xml:space="preserve">Расчет стоимости :  (а+bx) * Ki,            или  (объём строительно-монтажных работ) * процент/100,  или  количество * цена.                                      </t>
  </si>
  <si>
    <t>Полевые работы (инженерно-экологические)</t>
  </si>
  <si>
    <t>Рекогносцировочное  почвенное обследование при удовлетворительной  проходимости. Категория сложности II</t>
  </si>
  <si>
    <t>Справочник базовых цен
на инженерно-геологические и инженерно-экологические 
изыскания для строительства
 (письмо от 22.06.1998 г., № 9-4/84).Табл.9 § 5</t>
  </si>
  <si>
    <t xml:space="preserve">Отбор точечных проб воды с глубины более 0,5 м для анализа на загрезненность по химическим показателям.                      Объем - 2 проб. </t>
  </si>
  <si>
    <t>То же.Табл. 60 § 2</t>
  </si>
  <si>
    <t xml:space="preserve">Отбор точечных проб почво-грунтов (методом коверта) для анализа на загрезненность по химическим показателям.                      Объем -2 точечных проб. ( объединенных проб =2 с коэф. =0,9) </t>
  </si>
  <si>
    <t>То же.Табл. 60 § 7</t>
  </si>
  <si>
    <t>Маршрутное наблюдение при составлении карт М 1:25000 проходимость удовлетворительная</t>
  </si>
  <si>
    <t>То же.Табл. 10 § 2 Удовлетворительная проходимость, к=0,6 для линейных сооружений (гл. 2 п. 5)</t>
  </si>
  <si>
    <t>Расходы по внешнему транспорту Расстояние до 340 км</t>
  </si>
  <si>
    <t>То же. Табл. 5 §3</t>
  </si>
  <si>
    <t>Итого полевых и сопутствующих работ:</t>
  </si>
  <si>
    <r>
      <t xml:space="preserve">            </t>
    </r>
    <r>
      <rPr>
        <b/>
        <sz val="11"/>
        <rFont val="Times New Roman"/>
        <family val="1"/>
        <charset val="204"/>
      </rPr>
      <t xml:space="preserve"> Лабораторные работы</t>
    </r>
  </si>
  <si>
    <t>Определение водородного показателя pH водной и солевой вытяжки электрометрическим методом</t>
  </si>
  <si>
    <t>То же.Табл. 70 § 14</t>
  </si>
  <si>
    <t xml:space="preserve">Определение органического вещества (гумус) методом прока-   
ливания при температурах 120, 230, 420 °С пос- 
ледовательно   </t>
  </si>
  <si>
    <t>То же.Табл. 70 § 11</t>
  </si>
  <si>
    <t xml:space="preserve">Определение солей тяжелых металлов без пробо-  
подготовки методом атомной абсорбции (1 металл). Объем - 5 металлов (Сu, Co, Zn, Hg, Pb, </t>
  </si>
  <si>
    <t>То же.Табл. 70 § 57</t>
  </si>
  <si>
    <t>Определение содержания мышьяка в почве и в воде</t>
  </si>
  <si>
    <t>То же.Табл. 72 § 35</t>
  </si>
  <si>
    <t>Определение содержания нефтепродуктов в почве и в воде</t>
  </si>
  <si>
    <t>То же.Табл. 72 § 38</t>
  </si>
  <si>
    <t>Определение содержания нитратов в почве и в воде</t>
  </si>
  <si>
    <t>То же.Табл. 72 § 41</t>
  </si>
  <si>
    <t>Определение содержания хлоридов в почве и в воде</t>
  </si>
  <si>
    <t>То же.Табл. 72 § 73</t>
  </si>
  <si>
    <t xml:space="preserve">Валовый анализ почв </t>
  </si>
  <si>
    <t>То же.Табл. 71 § 7</t>
  </si>
  <si>
    <t>Полный анализ воды</t>
  </si>
  <si>
    <t>То же.Табл. 73 § 1</t>
  </si>
  <si>
    <t xml:space="preserve">То же. Табл.9 § 5 </t>
  </si>
  <si>
    <t>То же.Табл. 10 § 2, к=0,6 для линейных сооружений (гл 2, п 5)</t>
  </si>
  <si>
    <t>Камеральная обработка химических и бактериологических анализов на загрязненность почво-грунтов, воды, льда, снега и донных отложений при инженерно-экологических изысканиях</t>
  </si>
  <si>
    <t>То же. Табл. 86 § 6</t>
  </si>
  <si>
    <t>Изучение и систематизация материалов прошлых лет. Данные мониторинга по воде. Измеритель - 10 цифровых значений</t>
  </si>
  <si>
    <t xml:space="preserve">То же. Табл. 78 § 2 </t>
  </si>
  <si>
    <t>То же. Данные мониторинга почвы. Измеритель - 10 цифровых значений</t>
  </si>
  <si>
    <t xml:space="preserve">То же. Табл. 78 § 2  </t>
  </si>
  <si>
    <t xml:space="preserve">Составление программы. Категория сложности II. Площадь до 1 кв. км. Глубина до 5 м. </t>
  </si>
  <si>
    <t>То же. Табл. 81 § 2, прим. 1 к=1,25</t>
  </si>
  <si>
    <t>Составление технич. отчета</t>
  </si>
  <si>
    <t xml:space="preserve">То же.Табл. 87 § 2. </t>
  </si>
  <si>
    <t xml:space="preserve">Непредвиденные расходы </t>
  </si>
  <si>
    <t>То же. ОУ п. 17</t>
  </si>
  <si>
    <t>Итого по поз. 1-24 :</t>
  </si>
  <si>
    <t>Итого с учетом районного коэффициента (приложение 4 п 5 К=1,45) Согласно табл. 3 §7К=1,25+0,45=1,70 (приравнена к районам Крайнего Севера)</t>
  </si>
  <si>
    <t>Итого  в уровне 2001года с учетом инф. коэффициента К( 4кв.2022)=5,12</t>
  </si>
  <si>
    <t>Директор                                                                   П.В. Калинин</t>
  </si>
  <si>
    <t>СМЕТА № 4</t>
  </si>
  <si>
    <t>6797,033х0,1</t>
  </si>
  <si>
    <t>Инженерно-экологические изыскания  ПС</t>
  </si>
  <si>
    <t>С применением индекса изменения сметной стоимости строительства на 4 квартал 2022 года k= 58,26</t>
  </si>
  <si>
    <t>(276,53+145,51*6*0,25*0,2*0,4*1000</t>
  </si>
  <si>
    <t>(276,53+145,51*6)*0,25*0,2 *1000</t>
  </si>
  <si>
    <t>ППТ+ПМТ</t>
  </si>
  <si>
    <t>Смета № 1</t>
  </si>
  <si>
    <t>Смета № 3</t>
  </si>
  <si>
    <t>Смета № 4</t>
  </si>
  <si>
    <t>Смета № 5</t>
  </si>
  <si>
    <t>в ценах 4кв. 2022 года</t>
  </si>
  <si>
    <t>СМЕТА № 1</t>
  </si>
  <si>
    <t>СМЕТА №3</t>
  </si>
  <si>
    <t xml:space="preserve"> ООО «Электросети»</t>
  </si>
  <si>
    <t>Смета № 2</t>
  </si>
  <si>
    <t>Проектная документация по ГПП702</t>
  </si>
  <si>
    <t>Рабочая документация по ГПП702</t>
  </si>
  <si>
    <t>Смета № 6</t>
  </si>
  <si>
    <t>Смета № 7</t>
  </si>
  <si>
    <t>Наименование предприятия, здания, сооружения, стадии проектирования, этапа, вида проектных или изыскательских раб</t>
  </si>
  <si>
    <t>Наименование проектной (изыскательской) организаци</t>
  </si>
  <si>
    <t>Наименование организации заказчик</t>
  </si>
  <si>
    <t>Реконструкция эл. оборудования ГПП-702»</t>
  </si>
  <si>
    <t>ООО «Электросети»</t>
  </si>
  <si>
    <t>СМЕТА №7</t>
  </si>
  <si>
    <t xml:space="preserve">Стоимость инженерных изысканий  </t>
  </si>
  <si>
    <t>Смета № 8</t>
  </si>
  <si>
    <t>Экспертиза проектной и сметной документации</t>
  </si>
  <si>
    <t>Проект планировки и проект межевания территории</t>
  </si>
  <si>
    <t xml:space="preserve">Сметная стоимость,  тыс руб.   </t>
  </si>
  <si>
    <t>Всего с НДС в ценах на 4 кв. 2022г.</t>
  </si>
  <si>
    <t xml:space="preserve">Всего с договорным  коэффициентом </t>
  </si>
  <si>
    <t>211,57х0,2</t>
  </si>
  <si>
    <t>2115,66 х8%</t>
  </si>
  <si>
    <t>СМЕТА 8</t>
  </si>
  <si>
    <t>П.В. Калинин</t>
  </si>
  <si>
    <t xml:space="preserve">  </t>
  </si>
  <si>
    <t>Наименование работ, услуг, оборудования</t>
  </si>
  <si>
    <t>Общая стоимость этапа, тыс. руб. без НДС</t>
  </si>
  <si>
    <t>Общая стоимость этапа, тыс. руб. с НДС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</si>
  <si>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</si>
  <si>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</si>
  <si>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</si>
  <si>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</si>
  <si>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</si>
  <si>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</si>
  <si>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</si>
  <si>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</si>
  <si>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</si>
  <si>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</si>
  <si>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</si>
  <si>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</si>
  <si>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 этап.</t>
  </si>
  <si>
    <t>2  этап.</t>
  </si>
  <si>
    <t>3 этап.</t>
  </si>
  <si>
    <t>Экспертиза проектно-сметной документации</t>
  </si>
  <si>
    <t>4 этап.</t>
  </si>
  <si>
    <t xml:space="preserve"> Разработка и согласование ТЧКД</t>
  </si>
  <si>
    <t>5 этап.</t>
  </si>
  <si>
    <t>Разработка и согласование рабочей  документации</t>
  </si>
  <si>
    <t>Инженерные изыскания</t>
  </si>
  <si>
    <t xml:space="preserve">Разработка и согласование проектной документации </t>
  </si>
  <si>
    <t xml:space="preserve">На выполнение проектно-изыскательских работ   по объекту  «Реконструкция эл. оборудования ГПП-702» </t>
  </si>
  <si>
    <t xml:space="preserve">по объекту  «Реконструкция эл. оборудования ГПП-702» </t>
  </si>
  <si>
    <t xml:space="preserve">График </t>
  </si>
  <si>
    <t xml:space="preserve">выполнения проектно изыскательных работ </t>
  </si>
  <si>
    <t xml:space="preserve">Договорной коэффициент Корректировка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</si>
</sst>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0_р_._-;\-* #,##0.000_р_._-;_-* &quot;-&quot;??_р_._-;_-@_-"/>
    <numFmt numFmtId="167" formatCode="_-* #,##0.000\ _₽_-;\-* #,##0.000\ _₽_-;_-* &quot;-&quot;???\ _₽_-;_-@_-"/>
    <numFmt numFmtId="168" formatCode="_-* #,##0.000_р_._-;\-* #,##0.000_р_._-;_-* &quot;-&quot;???_р_._-;_-@_-"/>
    <numFmt numFmtId="169" formatCode="0.00000"/>
    <numFmt numFmtId="170" formatCode="0.0000"/>
    <numFmt numFmtId="171" formatCode="0.000"/>
    <numFmt numFmtId="172" formatCode="_-* #,##0_р_._-;\-* #,##0_р_._-;_-* &quot;-&quot;??_р_._-;_-@_-"/>
    <numFmt numFmtId="173" formatCode="_-* #,##0.00\ [$₽-419]_-;\-* #,##0.00\ [$₽-419]_-;_-* &quot;-&quot;??\ [$₽-419]_-;_-@_-"/>
    <numFmt numFmtId="174" formatCode="0.0%"/>
    <numFmt numFmtId="175" formatCode="_-* #,##0.00_р_._-;\-* #,##0.00_р_._-;_-* &quot;-&quot;???_р_._-;_-@_-"/>
    <numFmt numFmtId="176" formatCode="#,##0.000"/>
    <numFmt numFmtId="177" formatCode="_-* #,##0.000\ [$₽-419]_-;\-* #,##0.000\ [$₽-419]_-;_-* &quot;-&quot;??\ [$₽-419]_-;_-@_-"/>
  </numFmts>
  <fonts count="5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color rgb="FF0070C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  <font>
      <u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1"/>
      <name val="Arial Cyr"/>
      <charset val="204"/>
    </font>
    <font>
      <sz val="12"/>
      <color rgb="FF0070C0"/>
      <name val="Times New Roman"/>
      <family val="1"/>
      <charset val="204"/>
    </font>
    <font>
      <sz val="12"/>
      <color theme="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70C0"/>
      <name val="Calibri"/>
      <family val="2"/>
      <charset val="204"/>
    </font>
    <font>
      <b/>
      <sz val="8"/>
      <color rgb="FF000000"/>
      <name val="Verdana"/>
      <family val="2"/>
      <charset val="204"/>
    </font>
    <font>
      <sz val="10"/>
      <color theme="1"/>
      <name val="Times New Roman"/>
      <family val="1"/>
      <charset val="204"/>
    </font>
    <font>
      <sz val="12"/>
      <color rgb="FF00B0F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  <font>
      <sz val="14"/>
      <color theme="1"/>
      <name val="Times New Roman"/>
      <family val="1"/>
      <charset val="204"/>
    </font>
    <font>
      <sz val="14"/>
      <color rgb="FFFFFFFF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D9D9"/>
        <bgColor indexed="64"/>
      </patternFill>
    </fill>
  </fills>
  <borders count="9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1" fillId="0" borderId="0"/>
    <xf numFmtId="0" fontId="3" fillId="0" borderId="0"/>
    <xf numFmtId="0" fontId="1" fillId="0" borderId="0"/>
    <xf numFmtId="0" fontId="5" fillId="0" borderId="0"/>
    <xf numFmtId="0" fontId="7" fillId="0" borderId="0"/>
    <xf numFmtId="0" fontId="1" fillId="0" borderId="0"/>
    <xf numFmtId="0" fontId="1" fillId="0" borderId="0"/>
    <xf numFmtId="165" fontId="5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0" fontId="5" fillId="0" borderId="0"/>
    <xf numFmtId="0" fontId="19" fillId="0" borderId="0"/>
    <xf numFmtId="0" fontId="5" fillId="0" borderId="0"/>
    <xf numFmtId="165" fontId="5" fillId="0" borderId="0" applyFont="0" applyFill="0" applyBorder="0" applyAlignment="0" applyProtection="0"/>
    <xf numFmtId="0" fontId="7" fillId="0" borderId="0"/>
    <xf numFmtId="0" fontId="3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923">
    <xf numFmtId="0" fontId="0" fillId="0" borderId="0" xfId="0"/>
    <xf numFmtId="164" fontId="0" fillId="0" borderId="0" xfId="0" applyNumberFormat="1"/>
    <xf numFmtId="167" fontId="0" fillId="0" borderId="0" xfId="0" applyNumberFormat="1"/>
    <xf numFmtId="0" fontId="16" fillId="0" borderId="1" xfId="9" applyFont="1" applyBorder="1" applyAlignment="1">
      <alignment horizontal="center" vertical="center" wrapText="1"/>
    </xf>
    <xf numFmtId="0" fontId="16" fillId="2" borderId="1" xfId="9" applyFont="1" applyFill="1" applyBorder="1" applyAlignment="1">
      <alignment horizontal="center" vertical="center" wrapText="1"/>
    </xf>
    <xf numFmtId="0" fontId="16" fillId="0" borderId="9" xfId="9" applyFont="1" applyBorder="1" applyAlignment="1">
      <alignment horizontal="center" vertical="center" wrapText="1"/>
    </xf>
    <xf numFmtId="0" fontId="16" fillId="0" borderId="7" xfId="9" applyFont="1" applyBorder="1" applyAlignment="1">
      <alignment horizontal="center" vertical="center" wrapText="1"/>
    </xf>
    <xf numFmtId="0" fontId="16" fillId="0" borderId="8" xfId="9" applyFont="1" applyBorder="1" applyAlignment="1">
      <alignment horizontal="center" vertical="center" wrapText="1"/>
    </xf>
    <xf numFmtId="0" fontId="16" fillId="0" borderId="6" xfId="9" applyFont="1" applyBorder="1" applyAlignment="1">
      <alignment horizontal="center" vertical="center" wrapText="1"/>
    </xf>
    <xf numFmtId="0" fontId="16" fillId="0" borderId="2" xfId="9" applyFont="1" applyBorder="1" applyAlignment="1">
      <alignment horizontal="center" vertical="center" wrapText="1"/>
    </xf>
    <xf numFmtId="0" fontId="16" fillId="0" borderId="3" xfId="9" applyFont="1" applyBorder="1" applyAlignment="1">
      <alignment horizontal="center" vertical="center" wrapText="1"/>
    </xf>
    <xf numFmtId="0" fontId="16" fillId="0" borderId="4" xfId="9" applyFont="1" applyBorder="1" applyAlignment="1">
      <alignment horizontal="center" vertical="center" wrapText="1"/>
    </xf>
    <xf numFmtId="0" fontId="16" fillId="2" borderId="6" xfId="9" applyFont="1" applyFill="1" applyBorder="1" applyAlignment="1">
      <alignment horizontal="center" vertical="center" wrapText="1"/>
    </xf>
    <xf numFmtId="0" fontId="17" fillId="0" borderId="20" xfId="9" applyFont="1" applyBorder="1" applyAlignment="1">
      <alignment horizontal="right"/>
    </xf>
    <xf numFmtId="0" fontId="18" fillId="0" borderId="0" xfId="9" applyFont="1"/>
    <xf numFmtId="0" fontId="17" fillId="0" borderId="0" xfId="9" applyFont="1" applyAlignment="1">
      <alignment horizontal="right"/>
    </xf>
    <xf numFmtId="0" fontId="17" fillId="0" borderId="0" xfId="9" applyFont="1" applyAlignment="1">
      <alignment horizontal="center"/>
    </xf>
    <xf numFmtId="2" fontId="17" fillId="0" borderId="0" xfId="9" applyNumberFormat="1" applyFont="1" applyAlignment="1">
      <alignment horizontal="center"/>
    </xf>
    <xf numFmtId="2" fontId="17" fillId="0" borderId="0" xfId="9" applyNumberFormat="1" applyFont="1" applyAlignment="1">
      <alignment horizontal="left"/>
    </xf>
    <xf numFmtId="2" fontId="18" fillId="0" borderId="0" xfId="9" applyNumberFormat="1" applyFont="1"/>
    <xf numFmtId="0" fontId="17" fillId="0" borderId="0" xfId="9" applyFont="1"/>
    <xf numFmtId="2" fontId="17" fillId="0" borderId="0" xfId="9" applyNumberFormat="1" applyFont="1"/>
    <xf numFmtId="2" fontId="17" fillId="0" borderId="21" xfId="9" applyNumberFormat="1" applyFont="1" applyBorder="1"/>
    <xf numFmtId="2" fontId="17" fillId="0" borderId="21" xfId="9" applyNumberFormat="1" applyFont="1" applyBorder="1" applyAlignment="1">
      <alignment horizontal="center" vertical="center"/>
    </xf>
    <xf numFmtId="0" fontId="17" fillId="0" borderId="0" xfId="9" applyFont="1" applyAlignment="1">
      <alignment horizontal="center" vertical="center"/>
    </xf>
    <xf numFmtId="0" fontId="17" fillId="0" borderId="20" xfId="9" applyFont="1" applyBorder="1" applyAlignment="1">
      <alignment horizontal="center" vertical="center"/>
    </xf>
    <xf numFmtId="0" fontId="17" fillId="0" borderId="0" xfId="9" applyFont="1" applyAlignment="1">
      <alignment horizontal="right" vertical="center"/>
    </xf>
    <xf numFmtId="1" fontId="17" fillId="0" borderId="0" xfId="9" applyNumberFormat="1" applyFont="1" applyAlignment="1">
      <alignment horizontal="center" vertical="center"/>
    </xf>
    <xf numFmtId="2" fontId="17" fillId="0" borderId="0" xfId="9" applyNumberFormat="1" applyFont="1" applyAlignment="1">
      <alignment horizontal="center" vertical="center"/>
    </xf>
    <xf numFmtId="0" fontId="17" fillId="0" borderId="20" xfId="9" applyFont="1" applyBorder="1"/>
    <xf numFmtId="1" fontId="17" fillId="0" borderId="0" xfId="9" applyNumberFormat="1" applyFont="1" applyAlignment="1">
      <alignment vertical="center"/>
    </xf>
    <xf numFmtId="0" fontId="17" fillId="0" borderId="21" xfId="9" applyFont="1" applyBorder="1"/>
    <xf numFmtId="0" fontId="17" fillId="0" borderId="11" xfId="9" applyFont="1" applyBorder="1"/>
    <xf numFmtId="0" fontId="17" fillId="0" borderId="12" xfId="9" applyFont="1" applyBorder="1"/>
    <xf numFmtId="1" fontId="17" fillId="0" borderId="12" xfId="9" applyNumberFormat="1" applyFont="1" applyBorder="1" applyAlignment="1">
      <alignment vertical="center"/>
    </xf>
    <xf numFmtId="0" fontId="17" fillId="0" borderId="13" xfId="9" applyFont="1" applyBorder="1"/>
    <xf numFmtId="0" fontId="17" fillId="0" borderId="9" xfId="9" applyFont="1" applyBorder="1" applyAlignment="1">
      <alignment horizontal="right"/>
    </xf>
    <xf numFmtId="0" fontId="17" fillId="0" borderId="7" xfId="9" applyFont="1" applyBorder="1"/>
    <xf numFmtId="0" fontId="17" fillId="0" borderId="7" xfId="9" applyFont="1" applyBorder="1" applyAlignment="1">
      <alignment horizontal="right"/>
    </xf>
    <xf numFmtId="0" fontId="17" fillId="0" borderId="7" xfId="9" applyFont="1" applyBorder="1" applyAlignment="1">
      <alignment horizontal="center"/>
    </xf>
    <xf numFmtId="171" fontId="17" fillId="0" borderId="7" xfId="9" applyNumberFormat="1" applyFont="1" applyBorder="1" applyAlignment="1">
      <alignment horizontal="center"/>
    </xf>
    <xf numFmtId="2" fontId="17" fillId="0" borderId="7" xfId="9" applyNumberFormat="1" applyFont="1" applyBorder="1" applyAlignment="1">
      <alignment horizontal="center"/>
    </xf>
    <xf numFmtId="0" fontId="17" fillId="0" borderId="8" xfId="9" applyFont="1" applyBorder="1"/>
    <xf numFmtId="171" fontId="17" fillId="0" borderId="21" xfId="9" applyNumberFormat="1" applyFont="1" applyBorder="1" applyAlignment="1">
      <alignment horizontal="center" vertical="center"/>
    </xf>
    <xf numFmtId="0" fontId="17" fillId="0" borderId="21" xfId="9" applyFont="1" applyBorder="1" applyAlignment="1">
      <alignment horizontal="center" vertical="center"/>
    </xf>
    <xf numFmtId="0" fontId="17" fillId="0" borderId="0" xfId="9" applyFont="1" applyAlignment="1">
      <alignment horizontal="left"/>
    </xf>
    <xf numFmtId="0" fontId="17" fillId="0" borderId="20" xfId="9" applyFont="1" applyBorder="1" applyAlignment="1">
      <alignment vertical="center"/>
    </xf>
    <xf numFmtId="0" fontId="17" fillId="0" borderId="0" xfId="9" applyFont="1" applyAlignment="1">
      <alignment vertical="center"/>
    </xf>
    <xf numFmtId="0" fontId="18" fillId="0" borderId="7" xfId="9" applyFont="1" applyBorder="1"/>
    <xf numFmtId="171" fontId="17" fillId="0" borderId="7" xfId="9" applyNumberFormat="1" applyFont="1" applyBorder="1"/>
    <xf numFmtId="2" fontId="17" fillId="0" borderId="7" xfId="9" applyNumberFormat="1" applyFont="1" applyBorder="1"/>
    <xf numFmtId="171" fontId="17" fillId="0" borderId="21" xfId="9" applyNumberFormat="1" applyFont="1" applyBorder="1" applyAlignment="1">
      <alignment horizontal="center" vertical="center" wrapText="1"/>
    </xf>
    <xf numFmtId="171" fontId="17" fillId="0" borderId="0" xfId="9" applyNumberFormat="1" applyFont="1" applyAlignment="1">
      <alignment horizontal="center" vertical="center"/>
    </xf>
    <xf numFmtId="0" fontId="17" fillId="0" borderId="9" xfId="9" applyFont="1" applyBorder="1"/>
    <xf numFmtId="2" fontId="17" fillId="0" borderId="7" xfId="9" applyNumberFormat="1" applyFont="1" applyBorder="1" applyAlignment="1">
      <alignment horizontal="left"/>
    </xf>
    <xf numFmtId="0" fontId="18" fillId="0" borderId="0" xfId="9" applyFont="1" applyAlignment="1">
      <alignment horizontal="center" vertical="center"/>
    </xf>
    <xf numFmtId="170" fontId="17" fillId="0" borderId="21" xfId="9" applyNumberFormat="1" applyFont="1" applyBorder="1" applyAlignment="1">
      <alignment horizontal="center" vertical="center"/>
    </xf>
    <xf numFmtId="0" fontId="17" fillId="0" borderId="9" xfId="11" applyFont="1" applyBorder="1"/>
    <xf numFmtId="0" fontId="17" fillId="0" borderId="7" xfId="11" applyFont="1" applyBorder="1"/>
    <xf numFmtId="0" fontId="17" fillId="0" borderId="0" xfId="11" applyFont="1" applyAlignment="1">
      <alignment horizontal="center" vertical="center"/>
    </xf>
    <xf numFmtId="0" fontId="17" fillId="0" borderId="8" xfId="11" applyFont="1" applyBorder="1"/>
    <xf numFmtId="0" fontId="17" fillId="0" borderId="21" xfId="11" applyFont="1" applyBorder="1" applyAlignment="1">
      <alignment horizontal="center" vertical="center"/>
    </xf>
    <xf numFmtId="0" fontId="17" fillId="0" borderId="20" xfId="11" applyFont="1" applyBorder="1" applyAlignment="1">
      <alignment horizontal="center"/>
    </xf>
    <xf numFmtId="0" fontId="17" fillId="0" borderId="0" xfId="11" applyFont="1" applyAlignment="1">
      <alignment horizontal="center"/>
    </xf>
    <xf numFmtId="0" fontId="17" fillId="0" borderId="21" xfId="11" applyFont="1" applyBorder="1" applyAlignment="1">
      <alignment horizontal="center"/>
    </xf>
    <xf numFmtId="0" fontId="17" fillId="0" borderId="20" xfId="11" applyFont="1" applyBorder="1" applyAlignment="1">
      <alignment horizontal="center" vertical="center"/>
    </xf>
    <xf numFmtId="0" fontId="17" fillId="0" borderId="0" xfId="11" applyFont="1"/>
    <xf numFmtId="0" fontId="17" fillId="0" borderId="21" xfId="11" applyFont="1" applyBorder="1"/>
    <xf numFmtId="4" fontId="16" fillId="2" borderId="1" xfId="9" applyNumberFormat="1" applyFont="1" applyFill="1" applyBorder="1" applyAlignment="1">
      <alignment horizontal="center" vertical="center"/>
    </xf>
    <xf numFmtId="0" fontId="13" fillId="0" borderId="0" xfId="12" applyFont="1" applyAlignment="1">
      <alignment horizontal="left" vertical="top" wrapText="1"/>
    </xf>
    <xf numFmtId="0" fontId="12" fillId="0" borderId="0" xfId="12" applyFont="1" applyAlignment="1">
      <alignment horizontal="left" vertical="top" wrapText="1"/>
    </xf>
    <xf numFmtId="0" fontId="13" fillId="0" borderId="41" xfId="12" applyFont="1" applyBorder="1" applyAlignment="1">
      <alignment horizontal="center" vertical="center" wrapText="1"/>
    </xf>
    <xf numFmtId="0" fontId="13" fillId="0" borderId="49" xfId="13" applyFont="1" applyBorder="1" applyAlignment="1">
      <alignment horizontal="right" vertical="top" wrapText="1"/>
    </xf>
    <xf numFmtId="0" fontId="13" fillId="0" borderId="0" xfId="13" applyFont="1" applyAlignment="1">
      <alignment horizontal="left" vertical="top" wrapText="1"/>
    </xf>
    <xf numFmtId="0" fontId="13" fillId="0" borderId="0" xfId="13" applyFont="1" applyAlignment="1">
      <alignment horizontal="left" wrapText="1"/>
    </xf>
    <xf numFmtId="0" fontId="20" fillId="0" borderId="0" xfId="13" applyFont="1" applyAlignment="1">
      <alignment horizontal="left" wrapText="1"/>
    </xf>
    <xf numFmtId="0" fontId="21" fillId="0" borderId="49" xfId="14" applyFont="1" applyBorder="1" applyAlignment="1">
      <alignment horizontal="right" vertical="top" wrapText="1"/>
    </xf>
    <xf numFmtId="0" fontId="13" fillId="0" borderId="0" xfId="13" applyFont="1" applyAlignment="1">
      <alignment horizontal="left" vertical="center" wrapText="1"/>
    </xf>
    <xf numFmtId="0" fontId="13" fillId="0" borderId="49" xfId="12" applyFont="1" applyBorder="1" applyAlignment="1">
      <alignment horizontal="right" vertical="top" wrapText="1"/>
    </xf>
    <xf numFmtId="0" fontId="13" fillId="0" borderId="54" xfId="12" applyFont="1" applyBorder="1" applyAlignment="1">
      <alignment horizontal="right" vertical="top" wrapText="1"/>
    </xf>
    <xf numFmtId="0" fontId="13" fillId="0" borderId="12" xfId="12" applyFont="1" applyBorder="1" applyAlignment="1">
      <alignment horizontal="left" vertical="top" wrapText="1"/>
    </xf>
    <xf numFmtId="0" fontId="21" fillId="0" borderId="54" xfId="14" applyFont="1" applyBorder="1" applyAlignment="1">
      <alignment horizontal="right" vertical="top" wrapText="1"/>
    </xf>
    <xf numFmtId="0" fontId="13" fillId="0" borderId="12" xfId="13" applyFont="1" applyBorder="1" applyAlignment="1">
      <alignment horizontal="left" wrapText="1"/>
    </xf>
    <xf numFmtId="164" fontId="23" fillId="0" borderId="24" xfId="0" applyNumberFormat="1" applyFont="1" applyBorder="1"/>
    <xf numFmtId="0" fontId="8" fillId="0" borderId="0" xfId="2" applyFont="1" applyAlignment="1">
      <alignment horizontal="center"/>
    </xf>
    <xf numFmtId="0" fontId="4" fillId="0" borderId="1" xfId="20" applyFont="1" applyBorder="1" applyAlignment="1">
      <alignment horizontal="center" vertical="center" wrapText="1"/>
    </xf>
    <xf numFmtId="0" fontId="4" fillId="0" borderId="3" xfId="20" applyFont="1" applyBorder="1" applyAlignment="1">
      <alignment horizontal="center" vertical="center" wrapText="1"/>
    </xf>
    <xf numFmtId="3" fontId="4" fillId="0" borderId="1" xfId="20" applyNumberFormat="1" applyFont="1" applyBorder="1" applyAlignment="1">
      <alignment horizontal="center" vertical="center" wrapText="1"/>
    </xf>
    <xf numFmtId="0" fontId="6" fillId="0" borderId="1" xfId="20" applyFont="1" applyBorder="1" applyAlignment="1">
      <alignment horizontal="center" vertical="center" wrapText="1"/>
    </xf>
    <xf numFmtId="0" fontId="6" fillId="0" borderId="4" xfId="20" applyFont="1" applyBorder="1" applyAlignment="1">
      <alignment horizontal="center" vertical="center" wrapText="1"/>
    </xf>
    <xf numFmtId="0" fontId="6" fillId="0" borderId="3" xfId="20" applyFont="1" applyBorder="1" applyAlignment="1">
      <alignment horizontal="center" vertical="center" wrapText="1"/>
    </xf>
    <xf numFmtId="3" fontId="6" fillId="0" borderId="1" xfId="20" applyNumberFormat="1" applyFont="1" applyBorder="1" applyAlignment="1">
      <alignment horizontal="center" vertical="center" wrapText="1"/>
    </xf>
    <xf numFmtId="49" fontId="24" fillId="0" borderId="18" xfId="7" applyNumberFormat="1" applyFont="1" applyBorder="1" applyAlignment="1">
      <alignment horizontal="center" vertical="center" wrapText="1"/>
    </xf>
    <xf numFmtId="0" fontId="24" fillId="0" borderId="18" xfId="7" applyFont="1" applyBorder="1" applyAlignment="1">
      <alignment horizontal="center" vertical="center" wrapText="1"/>
    </xf>
    <xf numFmtId="0" fontId="25" fillId="2" borderId="0" xfId="0" applyFont="1" applyFill="1" applyAlignment="1">
      <alignment horizontal="center" vertical="center"/>
    </xf>
    <xf numFmtId="4" fontId="22" fillId="0" borderId="17" xfId="7" applyNumberFormat="1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49" fontId="4" fillId="0" borderId="12" xfId="20" applyNumberFormat="1" applyFont="1" applyBorder="1" applyAlignment="1">
      <alignment horizontal="center" vertical="center" wrapText="1"/>
    </xf>
    <xf numFmtId="4" fontId="4" fillId="0" borderId="1" xfId="20" applyNumberFormat="1" applyFont="1" applyBorder="1" applyAlignment="1">
      <alignment horizontal="center" vertical="center" wrapText="1"/>
    </xf>
    <xf numFmtId="0" fontId="27" fillId="0" borderId="0" xfId="0" applyFont="1"/>
    <xf numFmtId="49" fontId="24" fillId="0" borderId="18" xfId="7" applyNumberFormat="1" applyFont="1" applyBorder="1" applyAlignment="1">
      <alignment horizontal="center" vertical="center"/>
    </xf>
    <xf numFmtId="0" fontId="25" fillId="2" borderId="18" xfId="7" applyFont="1" applyFill="1" applyBorder="1" applyAlignment="1">
      <alignment horizontal="center" vertical="center" wrapText="1"/>
    </xf>
    <xf numFmtId="2" fontId="22" fillId="0" borderId="17" xfId="7" applyNumberFormat="1" applyFont="1" applyBorder="1" applyAlignment="1">
      <alignment horizontal="center" vertical="center" wrapText="1"/>
    </xf>
    <xf numFmtId="4" fontId="4" fillId="0" borderId="1" xfId="20" applyNumberFormat="1" applyFont="1" applyBorder="1" applyAlignment="1">
      <alignment horizontal="center" vertical="center"/>
    </xf>
    <xf numFmtId="49" fontId="4" fillId="0" borderId="3" xfId="20" applyNumberFormat="1" applyFont="1" applyBorder="1" applyAlignment="1">
      <alignment horizontal="center" vertical="center"/>
    </xf>
    <xf numFmtId="4" fontId="1" fillId="0" borderId="0" xfId="21" applyNumberFormat="1"/>
    <xf numFmtId="4" fontId="0" fillId="0" borderId="0" xfId="0" applyNumberFormat="1"/>
    <xf numFmtId="0" fontId="1" fillId="0" borderId="0" xfId="21"/>
    <xf numFmtId="49" fontId="8" fillId="0" borderId="6" xfId="7" applyNumberFormat="1" applyFont="1" applyBorder="1" applyAlignment="1">
      <alignment horizontal="center" vertical="center" wrapText="1"/>
    </xf>
    <xf numFmtId="0" fontId="8" fillId="0" borderId="5" xfId="7" applyFont="1" applyBorder="1" applyAlignment="1">
      <alignment horizontal="center" vertical="center" wrapText="1"/>
    </xf>
    <xf numFmtId="10" fontId="8" fillId="0" borderId="58" xfId="7" applyNumberFormat="1" applyFont="1" applyBorder="1" applyAlignment="1">
      <alignment vertical="center" wrapText="1"/>
    </xf>
    <xf numFmtId="4" fontId="8" fillId="0" borderId="59" xfId="7" applyNumberFormat="1" applyFont="1" applyBorder="1" applyAlignment="1">
      <alignment vertical="center" wrapText="1"/>
    </xf>
    <xf numFmtId="10" fontId="8" fillId="0" borderId="59" xfId="7" applyNumberFormat="1" applyFont="1" applyBorder="1" applyAlignment="1">
      <alignment horizontal="center" vertical="center" wrapText="1"/>
    </xf>
    <xf numFmtId="10" fontId="8" fillId="0" borderId="59" xfId="7" applyNumberFormat="1" applyFont="1" applyBorder="1" applyAlignment="1">
      <alignment vertical="center" wrapText="1"/>
    </xf>
    <xf numFmtId="10" fontId="8" fillId="0" borderId="34" xfId="7" applyNumberFormat="1" applyFont="1" applyBorder="1" applyAlignment="1">
      <alignment vertical="center" wrapText="1"/>
    </xf>
    <xf numFmtId="2" fontId="10" fillId="0" borderId="8" xfId="7" applyNumberFormat="1" applyFont="1" applyBorder="1" applyAlignment="1">
      <alignment horizontal="center" vertical="center" wrapText="1"/>
    </xf>
    <xf numFmtId="2" fontId="4" fillId="0" borderId="1" xfId="20" applyNumberFormat="1" applyFont="1" applyBorder="1" applyAlignment="1">
      <alignment horizontal="center" vertical="center" wrapText="1"/>
    </xf>
    <xf numFmtId="0" fontId="6" fillId="0" borderId="5" xfId="20" applyFont="1" applyBorder="1" applyAlignment="1">
      <alignment horizontal="center" vertical="center"/>
    </xf>
    <xf numFmtId="0" fontId="6" fillId="0" borderId="5" xfId="20" applyFont="1" applyBorder="1" applyAlignment="1">
      <alignment horizontal="left" vertical="center" wrapText="1"/>
    </xf>
    <xf numFmtId="0" fontId="6" fillId="0" borderId="5" xfId="20" applyFont="1" applyBorder="1" applyAlignment="1">
      <alignment horizontal="center" vertical="center" wrapText="1"/>
    </xf>
    <xf numFmtId="0" fontId="6" fillId="0" borderId="58" xfId="20" applyFont="1" applyBorder="1" applyAlignment="1">
      <alignment horizontal="center" vertical="center" wrapText="1"/>
    </xf>
    <xf numFmtId="0" fontId="6" fillId="0" borderId="33" xfId="20" applyFont="1" applyBorder="1" applyAlignment="1">
      <alignment horizontal="center" vertical="center" wrapText="1"/>
    </xf>
    <xf numFmtId="2" fontId="4" fillId="0" borderId="5" xfId="20" applyNumberFormat="1" applyFont="1" applyBorder="1" applyAlignment="1">
      <alignment horizontal="center" vertical="center"/>
    </xf>
    <xf numFmtId="0" fontId="6" fillId="0" borderId="61" xfId="20" applyFont="1" applyBorder="1" applyAlignment="1">
      <alignment horizontal="center" vertical="center"/>
    </xf>
    <xf numFmtId="0" fontId="6" fillId="0" borderId="61" xfId="20" applyFont="1" applyBorder="1" applyAlignment="1">
      <alignment horizontal="left" vertical="center" wrapText="1"/>
    </xf>
    <xf numFmtId="0" fontId="6" fillId="0" borderId="61" xfId="20" applyFont="1" applyBorder="1" applyAlignment="1">
      <alignment horizontal="center" vertical="center" wrapText="1"/>
    </xf>
    <xf numFmtId="0" fontId="6" fillId="0" borderId="62" xfId="20" applyFont="1" applyBorder="1" applyAlignment="1">
      <alignment horizontal="center" vertical="center" wrapText="1"/>
    </xf>
    <xf numFmtId="0" fontId="6" fillId="0" borderId="64" xfId="20" applyFont="1" applyBorder="1" applyAlignment="1">
      <alignment horizontal="center" vertical="center" wrapText="1"/>
    </xf>
    <xf numFmtId="0" fontId="6" fillId="0" borderId="18" xfId="20" applyFont="1" applyBorder="1" applyAlignment="1">
      <alignment horizontal="center" vertical="center"/>
    </xf>
    <xf numFmtId="0" fontId="6" fillId="0" borderId="18" xfId="20" applyFont="1" applyBorder="1" applyAlignment="1">
      <alignment horizontal="left" vertical="center" wrapText="1"/>
    </xf>
    <xf numFmtId="0" fontId="6" fillId="0" borderId="18" xfId="20" applyFont="1" applyBorder="1" applyAlignment="1">
      <alignment horizontal="center" vertical="center" wrapText="1"/>
    </xf>
    <xf numFmtId="4" fontId="6" fillId="0" borderId="16" xfId="20" applyNumberFormat="1" applyFont="1" applyBorder="1" applyAlignment="1">
      <alignment horizontal="center" vertical="center" wrapText="1"/>
    </xf>
    <xf numFmtId="4" fontId="4" fillId="0" borderId="18" xfId="20" applyNumberFormat="1" applyFont="1" applyBorder="1" applyAlignment="1">
      <alignment horizontal="center" vertical="center"/>
    </xf>
    <xf numFmtId="0" fontId="4" fillId="0" borderId="4" xfId="20" applyFont="1" applyBorder="1" applyAlignment="1">
      <alignment horizontal="right" vertical="center" wrapText="1"/>
    </xf>
    <xf numFmtId="0" fontId="6" fillId="0" borderId="6" xfId="20" applyFont="1" applyBorder="1" applyAlignment="1">
      <alignment horizontal="center" vertical="center" wrapText="1"/>
    </xf>
    <xf numFmtId="4" fontId="4" fillId="0" borderId="6" xfId="20" applyNumberFormat="1" applyFont="1" applyBorder="1" applyAlignment="1">
      <alignment horizontal="center" vertical="center"/>
    </xf>
    <xf numFmtId="0" fontId="29" fillId="0" borderId="3" xfId="4" applyFont="1" applyBorder="1" applyAlignment="1">
      <alignment horizontal="center" vertical="center" wrapText="1"/>
    </xf>
    <xf numFmtId="0" fontId="8" fillId="0" borderId="0" xfId="12" applyFont="1"/>
    <xf numFmtId="0" fontId="10" fillId="0" borderId="0" xfId="12" applyFont="1"/>
    <xf numFmtId="0" fontId="8" fillId="0" borderId="1" xfId="12" applyFont="1" applyBorder="1" applyAlignment="1">
      <alignment horizontal="center" vertical="center"/>
    </xf>
    <xf numFmtId="0" fontId="8" fillId="0" borderId="4" xfId="12" applyFont="1" applyBorder="1" applyAlignment="1">
      <alignment horizontal="center" vertical="center" wrapText="1"/>
    </xf>
    <xf numFmtId="0" fontId="8" fillId="0" borderId="7" xfId="12" applyFont="1" applyBorder="1" applyAlignment="1">
      <alignment horizontal="center"/>
    </xf>
    <xf numFmtId="0" fontId="8" fillId="0" borderId="7" xfId="12" applyFont="1" applyBorder="1" applyAlignment="1">
      <alignment horizontal="center" vertical="center" wrapText="1"/>
    </xf>
    <xf numFmtId="0" fontId="8" fillId="0" borderId="8" xfId="12" applyFont="1" applyBorder="1" applyAlignment="1">
      <alignment horizontal="center"/>
    </xf>
    <xf numFmtId="166" fontId="8" fillId="0" borderId="8" xfId="8" applyNumberFormat="1" applyFont="1" applyFill="1" applyBorder="1" applyAlignment="1">
      <alignment horizontal="center"/>
    </xf>
    <xf numFmtId="0" fontId="10" fillId="0" borderId="0" xfId="12" applyFont="1" applyAlignment="1">
      <alignment horizontal="center"/>
    </xf>
    <xf numFmtId="0" fontId="8" fillId="0" borderId="0" xfId="12" applyFont="1" applyAlignment="1">
      <alignment horizontal="center"/>
    </xf>
    <xf numFmtId="0" fontId="8" fillId="0" borderId="0" xfId="12" applyFont="1" applyAlignment="1">
      <alignment horizontal="center" vertical="center" wrapText="1"/>
    </xf>
    <xf numFmtId="166" fontId="8" fillId="0" borderId="21" xfId="8" applyNumberFormat="1" applyFont="1" applyFill="1" applyBorder="1" applyAlignment="1">
      <alignment horizontal="center"/>
    </xf>
    <xf numFmtId="165" fontId="8" fillId="0" borderId="21" xfId="8" applyFont="1" applyFill="1" applyBorder="1" applyAlignment="1">
      <alignment horizontal="center" vertical="center"/>
    </xf>
    <xf numFmtId="0" fontId="8" fillId="0" borderId="0" xfId="12" applyFont="1" applyAlignment="1">
      <alignment horizontal="center" vertical="center"/>
    </xf>
    <xf numFmtId="0" fontId="8" fillId="3" borderId="0" xfId="12" applyFont="1" applyFill="1" applyAlignment="1">
      <alignment horizontal="center" vertical="center" wrapText="1"/>
    </xf>
    <xf numFmtId="166" fontId="8" fillId="0" borderId="21" xfId="8" applyNumberFormat="1" applyFont="1" applyFill="1" applyBorder="1" applyAlignment="1">
      <alignment horizontal="center" vertical="center"/>
    </xf>
    <xf numFmtId="0" fontId="11" fillId="3" borderId="20" xfId="4" applyFont="1" applyFill="1" applyBorder="1" applyAlignment="1">
      <alignment horizontal="center" vertical="center" wrapText="1"/>
    </xf>
    <xf numFmtId="0" fontId="31" fillId="3" borderId="12" xfId="12" applyFont="1" applyFill="1" applyBorder="1" applyAlignment="1">
      <alignment horizontal="center"/>
    </xf>
    <xf numFmtId="0" fontId="6" fillId="0" borderId="12" xfId="12" applyFont="1" applyBorder="1" applyAlignment="1">
      <alignment horizontal="left"/>
    </xf>
    <xf numFmtId="0" fontId="8" fillId="0" borderId="12" xfId="12" applyFont="1" applyBorder="1" applyAlignment="1">
      <alignment horizontal="center"/>
    </xf>
    <xf numFmtId="0" fontId="8" fillId="0" borderId="12" xfId="12" applyFont="1" applyBorder="1" applyAlignment="1">
      <alignment horizontal="center" vertical="center" wrapText="1"/>
    </xf>
    <xf numFmtId="166" fontId="8" fillId="0" borderId="13" xfId="8" applyNumberFormat="1" applyFont="1" applyFill="1" applyBorder="1" applyAlignment="1">
      <alignment horizontal="center"/>
    </xf>
    <xf numFmtId="166" fontId="8" fillId="0" borderId="13" xfId="8" applyNumberFormat="1" applyFont="1" applyFill="1" applyBorder="1" applyAlignment="1">
      <alignment horizontal="center" vertical="center"/>
    </xf>
    <xf numFmtId="0" fontId="8" fillId="0" borderId="21" xfId="12" applyFont="1" applyBorder="1" applyAlignment="1">
      <alignment vertical="center" wrapText="1"/>
    </xf>
    <xf numFmtId="0" fontId="30" fillId="0" borderId="21" xfId="12" applyFont="1" applyBorder="1" applyAlignment="1">
      <alignment vertical="center" wrapText="1"/>
    </xf>
    <xf numFmtId="0" fontId="30" fillId="0" borderId="0" xfId="12" applyFont="1" applyAlignment="1">
      <alignment horizontal="center" vertical="center" wrapText="1"/>
    </xf>
    <xf numFmtId="0" fontId="25" fillId="2" borderId="0" xfId="12" applyFont="1" applyFill="1" applyAlignment="1">
      <alignment horizontal="center" vertical="center" wrapText="1"/>
    </xf>
    <xf numFmtId="0" fontId="8" fillId="0" borderId="21" xfId="12" applyFont="1" applyBorder="1"/>
    <xf numFmtId="0" fontId="8" fillId="0" borderId="13" xfId="12" applyFont="1" applyBorder="1" applyAlignment="1">
      <alignment vertical="center" wrapText="1"/>
    </xf>
    <xf numFmtId="165" fontId="10" fillId="0" borderId="17" xfId="8" applyFont="1" applyFill="1" applyBorder="1" applyAlignment="1">
      <alignment horizontal="center" vertical="center"/>
    </xf>
    <xf numFmtId="0" fontId="8" fillId="0" borderId="6" xfId="12" applyFont="1" applyBorder="1" applyAlignment="1">
      <alignment horizontal="center" vertical="center" wrapText="1"/>
    </xf>
    <xf numFmtId="0" fontId="8" fillId="0" borderId="7" xfId="12" applyFont="1" applyBorder="1"/>
    <xf numFmtId="165" fontId="8" fillId="0" borderId="8" xfId="8" applyFont="1" applyFill="1" applyBorder="1" applyAlignment="1">
      <alignment horizontal="center" vertical="center"/>
    </xf>
    <xf numFmtId="0" fontId="8" fillId="0" borderId="19" xfId="12" applyFont="1" applyBorder="1" applyAlignment="1">
      <alignment horizontal="center" vertical="center" wrapText="1"/>
    </xf>
    <xf numFmtId="0" fontId="33" fillId="0" borderId="0" xfId="12" applyFont="1" applyAlignment="1">
      <alignment horizontal="center" vertical="center"/>
    </xf>
    <xf numFmtId="0" fontId="8" fillId="0" borderId="21" xfId="12" applyFont="1" applyBorder="1" applyAlignment="1">
      <alignment horizontal="center" vertical="center" wrapText="1"/>
    </xf>
    <xf numFmtId="0" fontId="8" fillId="0" borderId="10" xfId="12" applyFont="1" applyBorder="1" applyAlignment="1">
      <alignment horizontal="center" vertical="center" wrapText="1"/>
    </xf>
    <xf numFmtId="0" fontId="8" fillId="0" borderId="12" xfId="12" applyFont="1" applyBorder="1"/>
    <xf numFmtId="165" fontId="8" fillId="0" borderId="13" xfId="8" applyFont="1" applyFill="1" applyBorder="1" applyAlignment="1">
      <alignment horizontal="center" vertical="center"/>
    </xf>
    <xf numFmtId="165" fontId="10" fillId="0" borderId="24" xfId="8" applyFont="1" applyFill="1" applyBorder="1" applyAlignment="1">
      <alignment horizontal="center" vertical="center"/>
    </xf>
    <xf numFmtId="165" fontId="8" fillId="0" borderId="0" xfId="12" applyNumberFormat="1" applyFont="1" applyAlignment="1">
      <alignment horizontal="center" vertical="center" wrapText="1"/>
    </xf>
    <xf numFmtId="10" fontId="8" fillId="0" borderId="0" xfId="12" applyNumberFormat="1" applyFont="1" applyAlignment="1">
      <alignment horizontal="center" vertical="center" wrapText="1"/>
    </xf>
    <xf numFmtId="9" fontId="8" fillId="0" borderId="0" xfId="12" applyNumberFormat="1" applyFont="1" applyAlignment="1">
      <alignment horizontal="center" vertical="center" wrapText="1"/>
    </xf>
    <xf numFmtId="2" fontId="8" fillId="0" borderId="0" xfId="12" applyNumberFormat="1" applyFont="1" applyAlignment="1">
      <alignment horizontal="left" vertical="top" wrapText="1"/>
    </xf>
    <xf numFmtId="165" fontId="10" fillId="0" borderId="24" xfId="12" applyNumberFormat="1" applyFont="1" applyBorder="1" applyAlignment="1">
      <alignment horizontal="center" vertical="center" wrapText="1"/>
    </xf>
    <xf numFmtId="0" fontId="8" fillId="0" borderId="26" xfId="12" applyFont="1" applyBorder="1" applyAlignment="1">
      <alignment horizontal="center" vertical="center" wrapText="1"/>
    </xf>
    <xf numFmtId="166" fontId="8" fillId="0" borderId="28" xfId="8" applyNumberFormat="1" applyFont="1" applyFill="1" applyBorder="1" applyAlignment="1">
      <alignment horizontal="center"/>
    </xf>
    <xf numFmtId="0" fontId="8" fillId="0" borderId="25" xfId="12" applyFont="1" applyBorder="1" applyAlignment="1">
      <alignment horizontal="center" vertical="center" wrapText="1"/>
    </xf>
    <xf numFmtId="0" fontId="8" fillId="0" borderId="30" xfId="12" applyFont="1" applyBorder="1" applyAlignment="1">
      <alignment horizontal="center" vertical="center" wrapText="1"/>
    </xf>
    <xf numFmtId="0" fontId="8" fillId="0" borderId="30" xfId="12" applyFont="1" applyBorder="1"/>
    <xf numFmtId="0" fontId="8" fillId="0" borderId="30" xfId="12" applyFont="1" applyBorder="1" applyAlignment="1">
      <alignment horizontal="center"/>
    </xf>
    <xf numFmtId="166" fontId="8" fillId="0" borderId="31" xfId="8" applyNumberFormat="1" applyFont="1" applyFill="1" applyBorder="1" applyAlignment="1">
      <alignment horizontal="center"/>
    </xf>
    <xf numFmtId="165" fontId="8" fillId="0" borderId="31" xfId="8" applyFont="1" applyFill="1" applyBorder="1" applyAlignment="1">
      <alignment horizontal="center" vertical="center"/>
    </xf>
    <xf numFmtId="0" fontId="8" fillId="0" borderId="27" xfId="12" applyFont="1" applyBorder="1" applyAlignment="1">
      <alignment horizontal="center" vertical="center" wrapText="1"/>
    </xf>
    <xf numFmtId="0" fontId="8" fillId="0" borderId="28" xfId="12" applyFont="1" applyBorder="1" applyAlignment="1">
      <alignment horizontal="center" vertical="center" wrapText="1"/>
    </xf>
    <xf numFmtId="0" fontId="8" fillId="0" borderId="13" xfId="12" applyFont="1" applyBorder="1" applyAlignment="1">
      <alignment horizontal="center" vertical="center" wrapText="1"/>
    </xf>
    <xf numFmtId="168" fontId="10" fillId="0" borderId="24" xfId="12" applyNumberFormat="1" applyFont="1" applyBorder="1" applyAlignment="1">
      <alignment vertical="center" wrapText="1"/>
    </xf>
    <xf numFmtId="0" fontId="8" fillId="0" borderId="0" xfId="12" applyFont="1" applyAlignment="1">
      <alignment vertical="center" wrapText="1"/>
    </xf>
    <xf numFmtId="0" fontId="33" fillId="0" borderId="0" xfId="12" applyFont="1" applyAlignment="1">
      <alignment horizontal="center" vertical="center" wrapText="1"/>
    </xf>
    <xf numFmtId="0" fontId="8" fillId="0" borderId="30" xfId="12" applyFont="1" applyBorder="1" applyAlignment="1">
      <alignment horizontal="left" vertical="top" wrapText="1"/>
    </xf>
    <xf numFmtId="0" fontId="8" fillId="0" borderId="31" xfId="12" applyFont="1" applyBorder="1" applyAlignment="1">
      <alignment horizontal="left" vertical="top" wrapText="1"/>
    </xf>
    <xf numFmtId="0" fontId="8" fillId="0" borderId="0" xfId="12" applyFont="1" applyAlignment="1">
      <alignment horizontal="left" vertical="top" wrapText="1"/>
    </xf>
    <xf numFmtId="0" fontId="8" fillId="0" borderId="21" xfId="12" applyFont="1" applyBorder="1" applyAlignment="1">
      <alignment horizontal="left" vertical="top" wrapText="1"/>
    </xf>
    <xf numFmtId="168" fontId="8" fillId="0" borderId="0" xfId="12" applyNumberFormat="1" applyFont="1" applyAlignment="1">
      <alignment horizontal="center" vertical="center" wrapText="1"/>
    </xf>
    <xf numFmtId="0" fontId="8" fillId="0" borderId="27" xfId="12" applyFont="1" applyBorder="1" applyAlignment="1">
      <alignment horizontal="left" vertical="top" wrapText="1"/>
    </xf>
    <xf numFmtId="0" fontId="8" fillId="0" borderId="28" xfId="12" applyFont="1" applyBorder="1" applyAlignment="1">
      <alignment horizontal="left" vertical="top" wrapText="1"/>
    </xf>
    <xf numFmtId="168" fontId="10" fillId="0" borderId="24" xfId="12" applyNumberFormat="1" applyFont="1" applyBorder="1" applyAlignment="1">
      <alignment vertical="center"/>
    </xf>
    <xf numFmtId="0" fontId="8" fillId="0" borderId="35" xfId="12" applyFont="1" applyBorder="1" applyAlignment="1">
      <alignment horizontal="center" vertical="center" wrapText="1"/>
    </xf>
    <xf numFmtId="0" fontId="8" fillId="0" borderId="23" xfId="12" applyFont="1" applyBorder="1" applyAlignment="1">
      <alignment horizontal="center" vertical="center" wrapText="1"/>
    </xf>
    <xf numFmtId="172" fontId="8" fillId="0" borderId="24" xfId="8" applyNumberFormat="1" applyFont="1" applyFill="1" applyBorder="1" applyAlignment="1">
      <alignment horizontal="center" vertical="center"/>
    </xf>
    <xf numFmtId="0" fontId="8" fillId="0" borderId="9" xfId="12" applyFont="1" applyBorder="1" applyAlignment="1">
      <alignment horizontal="center" vertical="center" wrapText="1"/>
    </xf>
    <xf numFmtId="165" fontId="8" fillId="0" borderId="7" xfId="12" applyNumberFormat="1" applyFont="1" applyBorder="1" applyAlignment="1">
      <alignment horizontal="center" vertical="center" wrapText="1"/>
    </xf>
    <xf numFmtId="9" fontId="8" fillId="0" borderId="7" xfId="12" applyNumberFormat="1" applyFont="1" applyBorder="1" applyAlignment="1">
      <alignment horizontal="center" vertical="center" wrapText="1"/>
    </xf>
    <xf numFmtId="165" fontId="10" fillId="0" borderId="21" xfId="8" applyFont="1" applyFill="1" applyBorder="1" applyAlignment="1">
      <alignment horizontal="center" vertical="center"/>
    </xf>
    <xf numFmtId="0" fontId="8" fillId="0" borderId="20" xfId="12" applyFont="1" applyBorder="1" applyAlignment="1">
      <alignment horizontal="center" vertical="center" wrapText="1"/>
    </xf>
    <xf numFmtId="0" fontId="8" fillId="0" borderId="2" xfId="12" applyFont="1" applyBorder="1" applyAlignment="1">
      <alignment horizontal="center" vertical="center" wrapText="1"/>
    </xf>
    <xf numFmtId="0" fontId="8" fillId="0" borderId="3" xfId="12" applyFont="1" applyBorder="1" applyAlignment="1">
      <alignment horizontal="center" wrapText="1"/>
    </xf>
    <xf numFmtId="165" fontId="10" fillId="0" borderId="24" xfId="12" applyNumberFormat="1" applyFont="1" applyBorder="1" applyAlignment="1">
      <alignment vertical="center"/>
    </xf>
    <xf numFmtId="0" fontId="8" fillId="0" borderId="6" xfId="12" applyFont="1" applyBorder="1" applyAlignment="1">
      <alignment horizontal="center" vertical="center"/>
    </xf>
    <xf numFmtId="0" fontId="8" fillId="0" borderId="32" xfId="12" applyFont="1" applyBorder="1" applyAlignment="1">
      <alignment vertical="center"/>
    </xf>
    <xf numFmtId="165" fontId="8" fillId="0" borderId="33" xfId="12" applyNumberFormat="1" applyFont="1" applyBorder="1" applyAlignment="1">
      <alignment vertical="center"/>
    </xf>
    <xf numFmtId="0" fontId="8" fillId="0" borderId="33" xfId="12" applyFont="1" applyBorder="1" applyAlignment="1">
      <alignment vertical="center"/>
    </xf>
    <xf numFmtId="0" fontId="8" fillId="0" borderId="33" xfId="12" applyFont="1" applyBorder="1" applyAlignment="1">
      <alignment horizontal="center" vertical="center"/>
    </xf>
    <xf numFmtId="0" fontId="10" fillId="0" borderId="7" xfId="12" applyFont="1" applyBorder="1" applyAlignment="1">
      <alignment horizontal="center" vertical="center" wrapText="1"/>
    </xf>
    <xf numFmtId="0" fontId="10" fillId="0" borderId="7" xfId="12" applyFont="1" applyBorder="1" applyAlignment="1">
      <alignment horizontal="center" vertical="center"/>
    </xf>
    <xf numFmtId="0" fontId="8" fillId="0" borderId="8" xfId="12" applyFont="1" applyBorder="1" applyAlignment="1">
      <alignment horizontal="center" vertical="center"/>
    </xf>
    <xf numFmtId="165" fontId="8" fillId="0" borderId="8" xfId="12" applyNumberFormat="1" applyFont="1" applyBorder="1" applyAlignment="1">
      <alignment horizontal="center" vertical="center"/>
    </xf>
    <xf numFmtId="0" fontId="0" fillId="0" borderId="2" xfId="0" applyBorder="1"/>
    <xf numFmtId="165" fontId="35" fillId="0" borderId="3" xfId="0" applyNumberFormat="1" applyFont="1" applyBorder="1" applyAlignment="1">
      <alignment horizontal="center" vertical="center"/>
    </xf>
    <xf numFmtId="0" fontId="35" fillId="0" borderId="3" xfId="0" applyFont="1" applyBorder="1" applyAlignment="1">
      <alignment horizontal="center" vertical="center"/>
    </xf>
    <xf numFmtId="0" fontId="35" fillId="0" borderId="3" xfId="0" applyFont="1" applyBorder="1"/>
    <xf numFmtId="0" fontId="35" fillId="0" borderId="4" xfId="0" applyFont="1" applyBorder="1"/>
    <xf numFmtId="165" fontId="35" fillId="0" borderId="4" xfId="0" applyNumberFormat="1" applyFont="1" applyBorder="1"/>
    <xf numFmtId="170" fontId="17" fillId="0" borderId="0" xfId="9" applyNumberFormat="1" applyFont="1" applyAlignment="1">
      <alignment horizontal="center" vertical="center"/>
    </xf>
    <xf numFmtId="0" fontId="36" fillId="0" borderId="0" xfId="9" applyFont="1"/>
    <xf numFmtId="169" fontId="17" fillId="0" borderId="0" xfId="9" applyNumberFormat="1" applyFont="1" applyAlignment="1">
      <alignment horizontal="center"/>
    </xf>
    <xf numFmtId="0" fontId="11" fillId="0" borderId="0" xfId="9" applyFont="1"/>
    <xf numFmtId="2" fontId="17" fillId="0" borderId="13" xfId="9" applyNumberFormat="1" applyFont="1" applyBorder="1" applyAlignment="1">
      <alignment horizontal="center" vertical="center"/>
    </xf>
    <xf numFmtId="0" fontId="11" fillId="0" borderId="0" xfId="11" applyFont="1" applyAlignment="1">
      <alignment horizontal="center" vertical="center"/>
    </xf>
    <xf numFmtId="0" fontId="17" fillId="0" borderId="20" xfId="11" applyFont="1" applyBorder="1"/>
    <xf numFmtId="0" fontId="17" fillId="0" borderId="20" xfId="9" applyFont="1" applyBorder="1" applyAlignment="1">
      <alignment horizontal="center" vertical="center" wrapText="1"/>
    </xf>
    <xf numFmtId="0" fontId="17" fillId="0" borderId="0" xfId="9" applyFont="1" applyAlignment="1">
      <alignment horizontal="center" vertical="center" wrapText="1"/>
    </xf>
    <xf numFmtId="2" fontId="16" fillId="2" borderId="21" xfId="9" applyNumberFormat="1" applyFont="1" applyFill="1" applyBorder="1" applyAlignment="1">
      <alignment horizontal="center" vertical="center"/>
    </xf>
    <xf numFmtId="2" fontId="0" fillId="0" borderId="0" xfId="0" applyNumberFormat="1"/>
    <xf numFmtId="0" fontId="13" fillId="0" borderId="0" xfId="12" applyFont="1" applyAlignment="1">
      <alignment horizontal="center"/>
    </xf>
    <xf numFmtId="0" fontId="13" fillId="0" borderId="0" xfId="12" applyFont="1" applyAlignment="1">
      <alignment vertical="center"/>
    </xf>
    <xf numFmtId="0" fontId="13" fillId="0" borderId="0" xfId="12" applyFont="1" applyAlignment="1">
      <alignment horizontal="center" vertical="center"/>
    </xf>
    <xf numFmtId="0" fontId="13" fillId="0" borderId="0" xfId="12" applyFont="1" applyAlignment="1">
      <alignment vertical="center" wrapText="1"/>
    </xf>
    <xf numFmtId="0" fontId="13" fillId="0" borderId="0" xfId="12" applyFont="1"/>
    <xf numFmtId="0" fontId="13" fillId="0" borderId="0" xfId="12" applyFont="1" applyAlignment="1">
      <alignment vertical="top" wrapText="1"/>
    </xf>
    <xf numFmtId="0" fontId="12" fillId="0" borderId="14" xfId="12" applyFont="1" applyBorder="1" applyAlignment="1">
      <alignment vertical="center" wrapText="1"/>
    </xf>
    <xf numFmtId="0" fontId="12" fillId="0" borderId="14" xfId="12" applyFont="1" applyBorder="1" applyAlignment="1">
      <alignment horizontal="center" vertical="center" wrapText="1"/>
    </xf>
    <xf numFmtId="0" fontId="12" fillId="2" borderId="14" xfId="12" applyFont="1" applyFill="1" applyBorder="1" applyAlignment="1">
      <alignment horizontal="center"/>
    </xf>
    <xf numFmtId="0" fontId="13" fillId="3" borderId="14" xfId="12" applyFont="1" applyFill="1" applyBorder="1" applyAlignment="1">
      <alignment horizontal="center" vertical="top" wrapText="1"/>
    </xf>
    <xf numFmtId="0" fontId="13" fillId="2" borderId="14" xfId="12" applyFont="1" applyFill="1" applyBorder="1" applyAlignment="1">
      <alignment vertical="top"/>
    </xf>
    <xf numFmtId="0" fontId="13" fillId="0" borderId="14" xfId="12" applyFont="1" applyBorder="1" applyAlignment="1">
      <alignment horizontal="left" vertical="top" wrapText="1"/>
    </xf>
    <xf numFmtId="0" fontId="13" fillId="0" borderId="14" xfId="12" applyFont="1" applyBorder="1" applyAlignment="1">
      <alignment vertical="top"/>
    </xf>
    <xf numFmtId="0" fontId="13" fillId="3" borderId="14" xfId="12" applyFont="1" applyFill="1" applyBorder="1" applyAlignment="1">
      <alignment horizontal="left" vertical="top" wrapText="1"/>
    </xf>
    <xf numFmtId="0" fontId="13" fillId="3" borderId="14" xfId="12" applyFont="1" applyFill="1" applyBorder="1" applyAlignment="1">
      <alignment vertical="top"/>
    </xf>
    <xf numFmtId="171" fontId="17" fillId="0" borderId="13" xfId="9" applyNumberFormat="1" applyFont="1" applyBorder="1" applyAlignment="1">
      <alignment horizontal="center" vertical="center"/>
    </xf>
    <xf numFmtId="173" fontId="0" fillId="0" borderId="0" xfId="0" applyNumberFormat="1"/>
    <xf numFmtId="0" fontId="0" fillId="0" borderId="0" xfId="0" applyBorder="1" applyAlignment="1">
      <alignment vertical="top" wrapText="1"/>
    </xf>
    <xf numFmtId="0" fontId="24" fillId="0" borderId="70" xfId="0" applyFont="1" applyBorder="1" applyAlignment="1">
      <alignment horizontal="justify" vertical="top" wrapText="1"/>
    </xf>
    <xf numFmtId="0" fontId="24" fillId="0" borderId="71" xfId="0" applyFont="1" applyBorder="1" applyAlignment="1">
      <alignment horizontal="justify" vertical="top" wrapText="1"/>
    </xf>
    <xf numFmtId="0" fontId="24" fillId="0" borderId="9" xfId="0" applyFont="1" applyBorder="1"/>
    <xf numFmtId="0" fontId="24" fillId="0" borderId="20" xfId="0" applyFont="1" applyBorder="1"/>
    <xf numFmtId="0" fontId="2" fillId="0" borderId="1" xfId="0" applyFont="1" applyBorder="1" applyAlignment="1">
      <alignment horizontal="center"/>
    </xf>
    <xf numFmtId="0" fontId="24" fillId="0" borderId="73" xfId="0" applyFont="1" applyBorder="1" applyAlignment="1">
      <alignment horizontal="justify" vertical="top" wrapText="1"/>
    </xf>
    <xf numFmtId="171" fontId="24" fillId="0" borderId="71" xfId="0" applyNumberFormat="1" applyFont="1" applyBorder="1" applyAlignment="1">
      <alignment horizontal="justify" vertical="top" wrapText="1"/>
    </xf>
    <xf numFmtId="0" fontId="24" fillId="0" borderId="1" xfId="0" applyFont="1" applyBorder="1" applyAlignment="1">
      <alignment horizontal="justify" vertical="top" wrapText="1"/>
    </xf>
    <xf numFmtId="171" fontId="24" fillId="0" borderId="73" xfId="0" applyNumberFormat="1" applyFont="1" applyBorder="1" applyAlignment="1">
      <alignment horizontal="justify" vertical="top" wrapText="1"/>
    </xf>
    <xf numFmtId="0" fontId="39" fillId="0" borderId="71" xfId="0" applyFont="1" applyBorder="1" applyAlignment="1">
      <alignment horizontal="justify" vertical="top" wrapText="1"/>
    </xf>
    <xf numFmtId="0" fontId="39" fillId="0" borderId="1" xfId="0" applyFont="1" applyBorder="1" applyAlignment="1">
      <alignment horizontal="justify" vertical="top" wrapText="1"/>
    </xf>
    <xf numFmtId="171" fontId="39" fillId="0" borderId="71" xfId="0" applyNumberFormat="1" applyFont="1" applyBorder="1" applyAlignment="1">
      <alignment horizontal="justify" vertical="top" wrapText="1"/>
    </xf>
    <xf numFmtId="0" fontId="24" fillId="0" borderId="74" xfId="0" applyFont="1" applyBorder="1" applyAlignment="1">
      <alignment horizontal="justify" vertical="top" wrapText="1"/>
    </xf>
    <xf numFmtId="0" fontId="24" fillId="0" borderId="75" xfId="0" applyFont="1" applyBorder="1" applyAlignment="1">
      <alignment horizontal="justify" vertical="top" wrapText="1"/>
    </xf>
    <xf numFmtId="171" fontId="24" fillId="0" borderId="72" xfId="0" applyNumberFormat="1" applyFont="1" applyBorder="1" applyAlignment="1">
      <alignment horizontal="justify" vertical="top" wrapText="1"/>
    </xf>
    <xf numFmtId="0" fontId="24" fillId="0" borderId="76" xfId="0" applyFont="1" applyBorder="1" applyAlignment="1">
      <alignment horizontal="justify" vertical="top" wrapText="1"/>
    </xf>
    <xf numFmtId="171" fontId="24" fillId="0" borderId="76" xfId="0" applyNumberFormat="1" applyFont="1" applyBorder="1" applyAlignment="1">
      <alignment horizontal="justify" vertical="top" wrapText="1"/>
    </xf>
    <xf numFmtId="0" fontId="12" fillId="0" borderId="14" xfId="12" applyFont="1" applyBorder="1" applyAlignment="1">
      <alignment horizontal="center" vertical="center" wrapText="1"/>
    </xf>
    <xf numFmtId="0" fontId="24" fillId="0" borderId="0" xfId="0" applyFont="1" applyAlignment="1">
      <alignment horizontal="justify"/>
    </xf>
    <xf numFmtId="0" fontId="22" fillId="0" borderId="0" xfId="0" applyFont="1" applyAlignment="1">
      <alignment horizontal="justify"/>
    </xf>
    <xf numFmtId="0" fontId="24" fillId="0" borderId="9" xfId="0" applyFont="1" applyBorder="1" applyAlignment="1">
      <alignment horizontal="center" vertical="top" wrapText="1"/>
    </xf>
    <xf numFmtId="0" fontId="24" fillId="0" borderId="77" xfId="0" applyFont="1" applyBorder="1" applyAlignment="1">
      <alignment horizontal="center" vertical="top" wrapText="1"/>
    </xf>
    <xf numFmtId="0" fontId="24" fillId="0" borderId="78" xfId="0" applyFont="1" applyBorder="1" applyAlignment="1">
      <alignment horizontal="center" vertical="top" wrapText="1"/>
    </xf>
    <xf numFmtId="0" fontId="41" fillId="0" borderId="7" xfId="0" applyFont="1" applyBorder="1"/>
    <xf numFmtId="0" fontId="41" fillId="0" borderId="8" xfId="0" applyFont="1" applyBorder="1"/>
    <xf numFmtId="0" fontId="41" fillId="0" borderId="0" xfId="0" applyFont="1" applyBorder="1"/>
    <xf numFmtId="0" fontId="41" fillId="0" borderId="21" xfId="0" applyFont="1" applyBorder="1"/>
    <xf numFmtId="0" fontId="41" fillId="0" borderId="20" xfId="0" applyFont="1" applyBorder="1"/>
    <xf numFmtId="0" fontId="24" fillId="0" borderId="11" xfId="0" applyFont="1" applyBorder="1"/>
    <xf numFmtId="0" fontId="41" fillId="0" borderId="12" xfId="0" applyFont="1" applyBorder="1"/>
    <xf numFmtId="0" fontId="41" fillId="0" borderId="13" xfId="0" applyFont="1" applyBorder="1"/>
    <xf numFmtId="0" fontId="2" fillId="0" borderId="10" xfId="0" applyFont="1" applyBorder="1" applyAlignment="1">
      <alignment horizontal="center"/>
    </xf>
    <xf numFmtId="0" fontId="24" fillId="0" borderId="79" xfId="0" applyFont="1" applyBorder="1" applyAlignment="1">
      <alignment horizontal="justify" vertical="top" wrapText="1"/>
    </xf>
    <xf numFmtId="0" fontId="4" fillId="0" borderId="0" xfId="2" applyFont="1" applyAlignment="1">
      <alignment horizontal="center" vertical="center" wrapText="1"/>
    </xf>
    <xf numFmtId="0" fontId="24" fillId="0" borderId="0" xfId="0" applyFont="1" applyBorder="1" applyAlignment="1">
      <alignment horizontal="justify" vertical="top" wrapText="1"/>
    </xf>
    <xf numFmtId="0" fontId="4" fillId="0" borderId="0" xfId="2" applyFont="1" applyAlignment="1">
      <alignment horizontal="center" vertical="center" wrapText="1"/>
    </xf>
    <xf numFmtId="0" fontId="24" fillId="0" borderId="6" xfId="0" applyFont="1" applyBorder="1"/>
    <xf numFmtId="0" fontId="24" fillId="0" borderId="19" xfId="0" applyFont="1" applyBorder="1"/>
    <xf numFmtId="0" fontId="41" fillId="0" borderId="19" xfId="0" applyFont="1" applyBorder="1"/>
    <xf numFmtId="0" fontId="24" fillId="0" borderId="10" xfId="0" applyFont="1" applyBorder="1"/>
    <xf numFmtId="0" fontId="39" fillId="0" borderId="0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center"/>
    </xf>
    <xf numFmtId="0" fontId="44" fillId="0" borderId="0" xfId="0" applyFont="1" applyBorder="1" applyAlignment="1">
      <alignment vertical="top" wrapText="1"/>
    </xf>
    <xf numFmtId="0" fontId="41" fillId="0" borderId="11" xfId="0" applyFont="1" applyBorder="1"/>
    <xf numFmtId="0" fontId="4" fillId="0" borderId="0" xfId="12" applyFont="1" applyAlignment="1">
      <alignment horizontal="center"/>
    </xf>
    <xf numFmtId="0" fontId="4" fillId="0" borderId="0" xfId="12" applyFont="1" applyAlignment="1">
      <alignment horizontal="center" vertical="center" wrapText="1"/>
    </xf>
    <xf numFmtId="0" fontId="6" fillId="0" borderId="0" xfId="18" applyFont="1" applyAlignment="1">
      <alignment horizontal="left" vertical="center"/>
    </xf>
    <xf numFmtId="0" fontId="24" fillId="0" borderId="0" xfId="0" applyFont="1" applyAlignment="1">
      <alignment horizontal="left"/>
    </xf>
    <xf numFmtId="0" fontId="22" fillId="0" borderId="0" xfId="0" applyFont="1"/>
    <xf numFmtId="0" fontId="24" fillId="0" borderId="0" xfId="0" applyFont="1"/>
    <xf numFmtId="0" fontId="35" fillId="0" borderId="0" xfId="0" applyFont="1"/>
    <xf numFmtId="0" fontId="24" fillId="0" borderId="81" xfId="0" applyFont="1" applyBorder="1" applyAlignment="1">
      <alignment horizontal="justify" vertical="top" wrapText="1"/>
    </xf>
    <xf numFmtId="0" fontId="0" fillId="0" borderId="81" xfId="0" applyBorder="1" applyAlignment="1">
      <alignment vertical="top" wrapText="1"/>
    </xf>
    <xf numFmtId="0" fontId="0" fillId="0" borderId="76" xfId="0" applyBorder="1" applyAlignment="1">
      <alignment vertical="top" wrapText="1"/>
    </xf>
    <xf numFmtId="0" fontId="0" fillId="0" borderId="82" xfId="0" applyBorder="1" applyAlignment="1">
      <alignment vertical="top" wrapText="1"/>
    </xf>
    <xf numFmtId="0" fontId="0" fillId="0" borderId="83" xfId="0" applyBorder="1" applyAlignment="1">
      <alignment vertical="top" wrapText="1"/>
    </xf>
    <xf numFmtId="0" fontId="24" fillId="0" borderId="82" xfId="0" applyFont="1" applyBorder="1" applyAlignment="1">
      <alignment horizontal="center" vertical="top" wrapText="1"/>
    </xf>
    <xf numFmtId="0" fontId="24" fillId="0" borderId="85" xfId="0" applyFont="1" applyBorder="1" applyAlignment="1">
      <alignment horizontal="center" vertical="top" wrapText="1"/>
    </xf>
    <xf numFmtId="0" fontId="24" fillId="0" borderId="83" xfId="0" applyFont="1" applyBorder="1" applyAlignment="1">
      <alignment horizontal="center" vertical="top" wrapText="1"/>
    </xf>
    <xf numFmtId="1" fontId="24" fillId="0" borderId="81" xfId="0" applyNumberFormat="1" applyFont="1" applyBorder="1" applyAlignment="1">
      <alignment horizontal="center" vertical="top" wrapText="1"/>
    </xf>
    <xf numFmtId="0" fontId="24" fillId="0" borderId="86" xfId="0" applyFont="1" applyBorder="1" applyAlignment="1">
      <alignment vertical="top" wrapText="1"/>
    </xf>
    <xf numFmtId="1" fontId="24" fillId="0" borderId="1" xfId="0" applyNumberFormat="1" applyFont="1" applyBorder="1" applyAlignment="1">
      <alignment horizontal="center" vertical="top" wrapText="1"/>
    </xf>
    <xf numFmtId="0" fontId="24" fillId="0" borderId="7" xfId="0" applyFont="1" applyBorder="1" applyAlignment="1">
      <alignment vertical="top" wrapText="1"/>
    </xf>
    <xf numFmtId="0" fontId="14" fillId="0" borderId="81" xfId="0" applyFont="1" applyBorder="1" applyAlignment="1">
      <alignment vertical="top" wrapText="1"/>
    </xf>
    <xf numFmtId="1" fontId="24" fillId="0" borderId="82" xfId="0" applyNumberFormat="1" applyFont="1" applyBorder="1" applyAlignment="1">
      <alignment horizontal="center" vertical="top" wrapText="1"/>
    </xf>
    <xf numFmtId="0" fontId="24" fillId="0" borderId="80" xfId="0" applyFont="1" applyBorder="1" applyAlignment="1">
      <alignment vertical="top" wrapText="1"/>
    </xf>
    <xf numFmtId="0" fontId="14" fillId="0" borderId="80" xfId="0" applyFont="1" applyBorder="1" applyAlignment="1">
      <alignment vertical="top" wrapText="1"/>
    </xf>
    <xf numFmtId="0" fontId="24" fillId="0" borderId="89" xfId="0" applyFont="1" applyBorder="1" applyAlignment="1">
      <alignment vertical="top" wrapText="1"/>
    </xf>
    <xf numFmtId="0" fontId="24" fillId="0" borderId="77" xfId="0" applyFont="1" applyBorder="1" applyAlignment="1">
      <alignment vertical="top" wrapText="1"/>
    </xf>
    <xf numFmtId="0" fontId="24" fillId="0" borderId="81" xfId="0" applyFont="1" applyBorder="1" applyAlignment="1">
      <alignment vertical="top" wrapText="1"/>
    </xf>
    <xf numFmtId="0" fontId="38" fillId="0" borderId="23" xfId="0" applyFont="1" applyBorder="1" applyAlignment="1">
      <alignment wrapText="1"/>
    </xf>
    <xf numFmtId="0" fontId="38" fillId="0" borderId="0" xfId="0" applyFont="1"/>
    <xf numFmtId="0" fontId="38" fillId="0" borderId="57" xfId="0" applyFont="1" applyBorder="1" applyAlignment="1">
      <alignment horizontal="center" wrapText="1"/>
    </xf>
    <xf numFmtId="0" fontId="6" fillId="0" borderId="0" xfId="12" applyFont="1" applyAlignment="1">
      <alignment horizontal="left" vertical="center"/>
    </xf>
    <xf numFmtId="0" fontId="6" fillId="0" borderId="0" xfId="12" applyFont="1"/>
    <xf numFmtId="0" fontId="4" fillId="0" borderId="0" xfId="12" applyFont="1"/>
    <xf numFmtId="0" fontId="6" fillId="0" borderId="1" xfId="12" applyFont="1" applyBorder="1" applyAlignment="1">
      <alignment horizontal="center" vertical="center"/>
    </xf>
    <xf numFmtId="0" fontId="6" fillId="0" borderId="4" xfId="12" applyFont="1" applyBorder="1" applyAlignment="1">
      <alignment horizontal="center" vertical="center" wrapText="1"/>
    </xf>
    <xf numFmtId="0" fontId="6" fillId="0" borderId="7" xfId="12" applyFont="1" applyBorder="1" applyAlignment="1">
      <alignment horizontal="center"/>
    </xf>
    <xf numFmtId="0" fontId="45" fillId="0" borderId="7" xfId="12" applyFont="1" applyBorder="1" applyAlignment="1">
      <alignment horizontal="center"/>
    </xf>
    <xf numFmtId="0" fontId="45" fillId="0" borderId="7" xfId="12" applyFont="1" applyBorder="1" applyAlignment="1">
      <alignment horizontal="center" vertical="center" wrapText="1"/>
    </xf>
    <xf numFmtId="0" fontId="45" fillId="0" borderId="0" xfId="12" applyFont="1" applyAlignment="1">
      <alignment horizontal="center"/>
    </xf>
    <xf numFmtId="0" fontId="45" fillId="0" borderId="0" xfId="12" applyFont="1" applyAlignment="1">
      <alignment horizontal="center" vertical="center" wrapText="1"/>
    </xf>
    <xf numFmtId="0" fontId="6" fillId="0" borderId="0" xfId="12" applyFont="1" applyAlignment="1">
      <alignment horizontal="center" vertical="center" wrapText="1"/>
    </xf>
    <xf numFmtId="0" fontId="6" fillId="0" borderId="7" xfId="12" applyFont="1" applyBorder="1" applyAlignment="1">
      <alignment horizontal="center" vertical="center" wrapText="1"/>
    </xf>
    <xf numFmtId="0" fontId="6" fillId="0" borderId="0" xfId="12" applyFont="1" applyAlignment="1">
      <alignment horizontal="center"/>
    </xf>
    <xf numFmtId="0" fontId="6" fillId="0" borderId="12" xfId="12" applyFont="1" applyBorder="1" applyAlignment="1">
      <alignment horizontal="center" vertical="center" wrapText="1"/>
    </xf>
    <xf numFmtId="0" fontId="6" fillId="0" borderId="2" xfId="12" applyFont="1" applyBorder="1" applyAlignment="1">
      <alignment horizontal="center" vertical="center" wrapText="1"/>
    </xf>
    <xf numFmtId="0" fontId="6" fillId="0" borderId="1" xfId="12" applyFont="1" applyBorder="1" applyAlignment="1">
      <alignment horizontal="center" vertical="top" wrapText="1"/>
    </xf>
    <xf numFmtId="0" fontId="6" fillId="0" borderId="3" xfId="12" applyFont="1" applyBorder="1" applyAlignment="1">
      <alignment horizontal="center" vertical="center" wrapText="1"/>
    </xf>
    <xf numFmtId="0" fontId="6" fillId="0" borderId="3" xfId="12" applyFont="1" applyBorder="1" applyAlignment="1">
      <alignment horizontal="center" vertical="center"/>
    </xf>
    <xf numFmtId="0" fontId="11" fillId="0" borderId="3" xfId="12" applyFont="1" applyBorder="1" applyAlignment="1">
      <alignment horizontal="center" vertical="center" wrapText="1"/>
    </xf>
    <xf numFmtId="0" fontId="11" fillId="0" borderId="3" xfId="12" applyFont="1" applyBorder="1" applyAlignment="1">
      <alignment horizontal="center" vertical="center"/>
    </xf>
    <xf numFmtId="0" fontId="6" fillId="0" borderId="3" xfId="12" applyFont="1" applyBorder="1" applyAlignment="1">
      <alignment horizontal="center"/>
    </xf>
    <xf numFmtId="0" fontId="45" fillId="0" borderId="3" xfId="12" applyFont="1" applyBorder="1" applyAlignment="1">
      <alignment horizontal="center" vertical="center" wrapText="1"/>
    </xf>
    <xf numFmtId="0" fontId="45" fillId="4" borderId="3" xfId="12" applyFont="1" applyFill="1" applyBorder="1" applyAlignment="1">
      <alignment horizontal="center" vertical="center" wrapText="1"/>
    </xf>
    <xf numFmtId="166" fontId="6" fillId="0" borderId="3" xfId="15" applyNumberFormat="1" applyFont="1" applyFill="1" applyBorder="1" applyAlignment="1">
      <alignment horizontal="center" vertical="center"/>
    </xf>
    <xf numFmtId="165" fontId="6" fillId="0" borderId="1" xfId="15" applyFont="1" applyFill="1" applyBorder="1" applyAlignment="1">
      <alignment horizontal="center" vertical="center"/>
    </xf>
    <xf numFmtId="165" fontId="4" fillId="0" borderId="1" xfId="15" applyFont="1" applyFill="1" applyBorder="1" applyAlignment="1">
      <alignment horizontal="center" vertical="center"/>
    </xf>
    <xf numFmtId="0" fontId="6" fillId="0" borderId="7" xfId="12" applyFont="1" applyBorder="1"/>
    <xf numFmtId="166" fontId="6" fillId="0" borderId="8" xfId="15" applyNumberFormat="1" applyFont="1" applyFill="1" applyBorder="1" applyAlignment="1">
      <alignment horizontal="center"/>
    </xf>
    <xf numFmtId="165" fontId="6" fillId="0" borderId="8" xfId="15" applyFont="1" applyFill="1" applyBorder="1" applyAlignment="1">
      <alignment horizontal="center" vertical="center"/>
    </xf>
    <xf numFmtId="166" fontId="6" fillId="0" borderId="21" xfId="15" applyNumberFormat="1" applyFont="1" applyFill="1" applyBorder="1" applyAlignment="1">
      <alignment horizontal="center"/>
    </xf>
    <xf numFmtId="165" fontId="6" fillId="0" borderId="21" xfId="15" applyFont="1" applyFill="1" applyBorder="1" applyAlignment="1">
      <alignment horizontal="center" vertical="center"/>
    </xf>
    <xf numFmtId="165" fontId="6" fillId="0" borderId="0" xfId="12" applyNumberFormat="1" applyFont="1" applyAlignment="1">
      <alignment horizontal="center" vertical="center" wrapText="1"/>
    </xf>
    <xf numFmtId="10" fontId="6" fillId="0" borderId="0" xfId="12" applyNumberFormat="1" applyFont="1" applyAlignment="1">
      <alignment horizontal="center" vertical="center" wrapText="1"/>
    </xf>
    <xf numFmtId="0" fontId="6" fillId="0" borderId="21" xfId="12" applyFont="1" applyBorder="1" applyAlignment="1">
      <alignment horizontal="center" vertical="center" wrapText="1"/>
    </xf>
    <xf numFmtId="0" fontId="6" fillId="0" borderId="9" xfId="12" applyFont="1" applyBorder="1" applyAlignment="1">
      <alignment horizontal="center" vertical="center" wrapText="1"/>
    </xf>
    <xf numFmtId="0" fontId="6" fillId="0" borderId="20" xfId="12" applyFont="1" applyBorder="1" applyAlignment="1">
      <alignment horizontal="center" vertical="center" wrapText="1"/>
    </xf>
    <xf numFmtId="2" fontId="6" fillId="0" borderId="0" xfId="12" applyNumberFormat="1" applyFont="1" applyAlignment="1">
      <alignment horizontal="center" vertical="top" wrapText="1"/>
    </xf>
    <xf numFmtId="9" fontId="6" fillId="0" borderId="0" xfId="12" applyNumberFormat="1" applyFont="1" applyAlignment="1">
      <alignment horizontal="center" vertical="center" wrapText="1"/>
    </xf>
    <xf numFmtId="0" fontId="6" fillId="0" borderId="11" xfId="12" applyFont="1" applyBorder="1" applyAlignment="1">
      <alignment horizontal="center" vertical="center" wrapText="1"/>
    </xf>
    <xf numFmtId="0" fontId="6" fillId="0" borderId="12" xfId="12" applyFont="1" applyBorder="1"/>
    <xf numFmtId="9" fontId="6" fillId="0" borderId="12" xfId="12" applyNumberFormat="1" applyFont="1" applyBorder="1" applyAlignment="1">
      <alignment horizontal="center" vertical="center" wrapText="1"/>
    </xf>
    <xf numFmtId="0" fontId="6" fillId="0" borderId="12" xfId="12" applyFont="1" applyBorder="1" applyAlignment="1">
      <alignment horizontal="center"/>
    </xf>
    <xf numFmtId="166" fontId="6" fillId="0" borderId="13" xfId="15" applyNumberFormat="1" applyFont="1" applyFill="1" applyBorder="1" applyAlignment="1">
      <alignment horizontal="center"/>
    </xf>
    <xf numFmtId="0" fontId="6" fillId="0" borderId="1" xfId="12" applyFont="1" applyBorder="1" applyAlignment="1">
      <alignment horizontal="center" vertical="center" wrapText="1"/>
    </xf>
    <xf numFmtId="165" fontId="6" fillId="0" borderId="12" xfId="12" applyNumberFormat="1" applyFont="1" applyBorder="1" applyAlignment="1">
      <alignment vertical="center" wrapText="1"/>
    </xf>
    <xf numFmtId="0" fontId="6" fillId="0" borderId="12" xfId="12" applyFont="1" applyBorder="1" applyAlignment="1">
      <alignment vertical="center"/>
    </xf>
    <xf numFmtId="0" fontId="6" fillId="0" borderId="12" xfId="12" applyFont="1" applyBorder="1" applyAlignment="1">
      <alignment vertical="center" wrapText="1"/>
    </xf>
    <xf numFmtId="174" fontId="6" fillId="0" borderId="12" xfId="12" applyNumberFormat="1" applyFont="1" applyBorder="1" applyAlignment="1">
      <alignment vertical="center"/>
    </xf>
    <xf numFmtId="166" fontId="6" fillId="0" borderId="12" xfId="15" applyNumberFormat="1" applyFont="1" applyFill="1" applyBorder="1" applyAlignment="1">
      <alignment vertical="center"/>
    </xf>
    <xf numFmtId="165" fontId="6" fillId="0" borderId="1" xfId="15" applyFont="1" applyFill="1" applyBorder="1" applyAlignment="1">
      <alignment vertical="center"/>
    </xf>
    <xf numFmtId="165" fontId="4" fillId="0" borderId="1" xfId="12" applyNumberFormat="1" applyFont="1" applyBorder="1" applyAlignment="1">
      <alignment horizontal="center" vertical="center" wrapText="1"/>
    </xf>
    <xf numFmtId="165" fontId="6" fillId="0" borderId="8" xfId="15" applyFont="1" applyFill="1" applyBorder="1" applyAlignment="1">
      <alignment vertical="center"/>
    </xf>
    <xf numFmtId="165" fontId="6" fillId="0" borderId="21" xfId="15" applyFont="1" applyFill="1" applyBorder="1" applyAlignment="1">
      <alignment vertical="center"/>
    </xf>
    <xf numFmtId="0" fontId="11" fillId="0" borderId="0" xfId="12" applyFont="1" applyAlignment="1">
      <alignment horizontal="center" vertical="center" wrapText="1"/>
    </xf>
    <xf numFmtId="0" fontId="6" fillId="0" borderId="3" xfId="12" applyFont="1" applyBorder="1" applyAlignment="1">
      <alignment horizontal="left" vertical="top" wrapText="1"/>
    </xf>
    <xf numFmtId="165" fontId="6" fillId="0" borderId="4" xfId="15" applyFont="1" applyFill="1" applyBorder="1" applyAlignment="1">
      <alignment vertical="center"/>
    </xf>
    <xf numFmtId="0" fontId="6" fillId="0" borderId="19" xfId="12" applyFont="1" applyBorder="1" applyAlignment="1">
      <alignment horizontal="center" vertical="center" wrapText="1"/>
    </xf>
    <xf numFmtId="0" fontId="6" fillId="0" borderId="13" xfId="12" applyFont="1" applyBorder="1" applyAlignment="1">
      <alignment horizontal="center" vertical="center" wrapText="1"/>
    </xf>
    <xf numFmtId="168" fontId="4" fillId="0" borderId="4" xfId="12" applyNumberFormat="1" applyFont="1" applyBorder="1" applyAlignment="1">
      <alignment vertical="center" wrapText="1"/>
    </xf>
    <xf numFmtId="165" fontId="6" fillId="0" borderId="6" xfId="15" applyFont="1" applyFill="1" applyBorder="1" applyAlignment="1">
      <alignment horizontal="center" vertical="center"/>
    </xf>
    <xf numFmtId="165" fontId="6" fillId="0" borderId="19" xfId="15" applyFont="1" applyFill="1" applyBorder="1" applyAlignment="1">
      <alignment horizontal="center" vertical="center"/>
    </xf>
    <xf numFmtId="0" fontId="6" fillId="0" borderId="0" xfId="12" applyFont="1" applyAlignment="1">
      <alignment vertical="center" wrapText="1"/>
    </xf>
    <xf numFmtId="0" fontId="45" fillId="0" borderId="0" xfId="12" applyFont="1" applyAlignment="1">
      <alignment horizontal="center" vertical="center"/>
    </xf>
    <xf numFmtId="166" fontId="6" fillId="0" borderId="19" xfId="15" applyNumberFormat="1" applyFont="1" applyFill="1" applyBorder="1" applyAlignment="1">
      <alignment horizontal="center"/>
    </xf>
    <xf numFmtId="166" fontId="6" fillId="0" borderId="1" xfId="15" applyNumberFormat="1" applyFont="1" applyFill="1" applyBorder="1" applyAlignment="1">
      <alignment horizontal="center" vertical="center"/>
    </xf>
    <xf numFmtId="0" fontId="6" fillId="0" borderId="0" xfId="12" applyFont="1" applyAlignment="1">
      <alignment horizontal="left" vertical="top" wrapText="1"/>
    </xf>
    <xf numFmtId="0" fontId="6" fillId="0" borderId="21" xfId="12" applyFont="1" applyBorder="1" applyAlignment="1">
      <alignment horizontal="left" vertical="top" wrapText="1"/>
    </xf>
    <xf numFmtId="9" fontId="11" fillId="0" borderId="0" xfId="12" applyNumberFormat="1" applyFont="1" applyAlignment="1">
      <alignment horizontal="center" vertical="center" wrapText="1"/>
    </xf>
    <xf numFmtId="175" fontId="11" fillId="0" borderId="0" xfId="12" applyNumberFormat="1" applyFont="1" applyAlignment="1">
      <alignment horizontal="center" vertical="center" wrapText="1"/>
    </xf>
    <xf numFmtId="0" fontId="6" fillId="0" borderId="27" xfId="12" applyFont="1" applyBorder="1" applyAlignment="1">
      <alignment horizontal="left" vertical="top" wrapText="1"/>
    </xf>
    <xf numFmtId="0" fontId="6" fillId="0" borderId="28" xfId="12" applyFont="1" applyBorder="1" applyAlignment="1">
      <alignment horizontal="left" vertical="top" wrapText="1"/>
    </xf>
    <xf numFmtId="166" fontId="6" fillId="0" borderId="26" xfId="15" applyNumberFormat="1" applyFont="1" applyFill="1" applyBorder="1" applyAlignment="1">
      <alignment horizontal="center"/>
    </xf>
    <xf numFmtId="0" fontId="6" fillId="0" borderId="30" xfId="12" applyFont="1" applyBorder="1" applyAlignment="1">
      <alignment horizontal="center" vertical="center" wrapText="1"/>
    </xf>
    <xf numFmtId="0" fontId="6" fillId="0" borderId="30" xfId="12" applyFont="1" applyBorder="1"/>
    <xf numFmtId="0" fontId="6" fillId="0" borderId="30" xfId="12" applyFont="1" applyBorder="1" applyAlignment="1">
      <alignment horizontal="center"/>
    </xf>
    <xf numFmtId="166" fontId="6" fillId="0" borderId="31" xfId="15" applyNumberFormat="1" applyFont="1" applyFill="1" applyBorder="1" applyAlignment="1">
      <alignment horizontal="center"/>
    </xf>
    <xf numFmtId="165" fontId="6" fillId="0" borderId="25" xfId="15" applyFont="1" applyFill="1" applyBorder="1" applyAlignment="1">
      <alignment horizontal="center" vertical="center"/>
    </xf>
    <xf numFmtId="0" fontId="6" fillId="0" borderId="27" xfId="12" applyFont="1" applyBorder="1" applyAlignment="1">
      <alignment horizontal="center" vertical="center" wrapText="1"/>
    </xf>
    <xf numFmtId="0" fontId="6" fillId="0" borderId="27" xfId="12" applyFont="1" applyBorder="1"/>
    <xf numFmtId="0" fontId="6" fillId="0" borderId="27" xfId="12" applyFont="1" applyBorder="1" applyAlignment="1">
      <alignment horizontal="center"/>
    </xf>
    <xf numFmtId="166" fontId="6" fillId="0" borderId="28" xfId="15" applyNumberFormat="1" applyFont="1" applyFill="1" applyBorder="1" applyAlignment="1">
      <alignment horizontal="center"/>
    </xf>
    <xf numFmtId="165" fontId="6" fillId="0" borderId="26" xfId="15" applyFont="1" applyFill="1" applyBorder="1" applyAlignment="1">
      <alignment horizontal="center" vertical="center"/>
    </xf>
    <xf numFmtId="165" fontId="6" fillId="0" borderId="10" xfId="15" applyFont="1" applyFill="1" applyBorder="1" applyAlignment="1">
      <alignment horizontal="center" vertical="center"/>
    </xf>
    <xf numFmtId="168" fontId="4" fillId="0" borderId="1" xfId="12" applyNumberFormat="1" applyFont="1" applyBorder="1" applyAlignment="1">
      <alignment vertical="center"/>
    </xf>
    <xf numFmtId="165" fontId="6" fillId="0" borderId="7" xfId="12" applyNumberFormat="1" applyFont="1" applyBorder="1" applyAlignment="1">
      <alignment horizontal="center" vertical="center" wrapText="1"/>
    </xf>
    <xf numFmtId="9" fontId="6" fillId="0" borderId="7" xfId="12" applyNumberFormat="1" applyFont="1" applyBorder="1" applyAlignment="1">
      <alignment horizontal="center" vertical="center" wrapText="1"/>
    </xf>
    <xf numFmtId="165" fontId="4" fillId="0" borderId="19" xfId="15" applyFont="1" applyFill="1" applyBorder="1" applyAlignment="1">
      <alignment horizontal="center" vertical="center"/>
    </xf>
    <xf numFmtId="0" fontId="6" fillId="0" borderId="11" xfId="12" applyFont="1" applyBorder="1" applyAlignment="1">
      <alignment horizontal="center" wrapText="1"/>
    </xf>
    <xf numFmtId="0" fontId="6" fillId="0" borderId="12" xfId="12" applyFont="1" applyBorder="1" applyAlignment="1">
      <alignment horizontal="center" wrapText="1"/>
    </xf>
    <xf numFmtId="0" fontId="6" fillId="0" borderId="13" xfId="12" applyFont="1" applyBorder="1" applyAlignment="1">
      <alignment horizontal="center" wrapText="1"/>
    </xf>
    <xf numFmtId="166" fontId="6" fillId="0" borderId="10" xfId="15" applyNumberFormat="1" applyFont="1" applyFill="1" applyBorder="1" applyAlignment="1">
      <alignment horizontal="center"/>
    </xf>
    <xf numFmtId="165" fontId="4" fillId="0" borderId="1" xfId="12" applyNumberFormat="1" applyFont="1" applyBorder="1" applyAlignment="1">
      <alignment vertical="center"/>
    </xf>
    <xf numFmtId="0" fontId="6" fillId="0" borderId="5" xfId="12" applyFont="1" applyBorder="1" applyAlignment="1">
      <alignment horizontal="center" vertical="center"/>
    </xf>
    <xf numFmtId="0" fontId="6" fillId="0" borderId="32" xfId="12" applyFont="1" applyBorder="1" applyAlignment="1">
      <alignment vertical="center"/>
    </xf>
    <xf numFmtId="165" fontId="6" fillId="0" borderId="33" xfId="12" applyNumberFormat="1" applyFont="1" applyBorder="1" applyAlignment="1">
      <alignment vertical="center"/>
    </xf>
    <xf numFmtId="0" fontId="6" fillId="0" borderId="33" xfId="12" applyFont="1" applyBorder="1" applyAlignment="1">
      <alignment vertical="center"/>
    </xf>
    <xf numFmtId="2" fontId="46" fillId="4" borderId="33" xfId="12" applyNumberFormat="1" applyFont="1" applyFill="1" applyBorder="1" applyAlignment="1">
      <alignment horizontal="center" vertical="center"/>
    </xf>
    <xf numFmtId="0" fontId="4" fillId="0" borderId="33" xfId="12" applyFont="1" applyBorder="1" applyAlignment="1">
      <alignment horizontal="center" vertical="center" wrapText="1"/>
    </xf>
    <xf numFmtId="0" fontId="4" fillId="0" borderId="33" xfId="12" applyFont="1" applyBorder="1" applyAlignment="1">
      <alignment horizontal="center" vertical="center"/>
    </xf>
    <xf numFmtId="0" fontId="6" fillId="0" borderId="36" xfId="12" applyFont="1" applyBorder="1" applyAlignment="1">
      <alignment horizontal="center" vertical="center"/>
    </xf>
    <xf numFmtId="165" fontId="6" fillId="0" borderId="6" xfId="12" applyNumberFormat="1" applyFont="1" applyBorder="1" applyAlignment="1">
      <alignment horizontal="center" vertical="center"/>
    </xf>
    <xf numFmtId="0" fontId="6" fillId="0" borderId="19" xfId="12" applyFont="1" applyBorder="1" applyAlignment="1">
      <alignment horizontal="center" vertical="center"/>
    </xf>
    <xf numFmtId="0" fontId="6" fillId="0" borderId="20" xfId="12" applyFont="1" applyBorder="1" applyAlignment="1">
      <alignment vertical="center"/>
    </xf>
    <xf numFmtId="165" fontId="6" fillId="0" borderId="0" xfId="12" applyNumberFormat="1" applyFont="1" applyAlignment="1">
      <alignment vertical="center"/>
    </xf>
    <xf numFmtId="0" fontId="6" fillId="0" borderId="0" xfId="12" applyFont="1" applyAlignment="1">
      <alignment vertical="center"/>
    </xf>
    <xf numFmtId="2" fontId="46" fillId="4" borderId="0" xfId="12" applyNumberFormat="1" applyFont="1" applyFill="1" applyAlignment="1">
      <alignment horizontal="center" vertical="center"/>
    </xf>
    <xf numFmtId="0" fontId="4" fillId="0" borderId="0" xfId="12" applyFont="1" applyAlignment="1">
      <alignment horizontal="center" vertical="center"/>
    </xf>
    <xf numFmtId="0" fontId="6" fillId="0" borderId="21" xfId="12" applyFont="1" applyBorder="1" applyAlignment="1">
      <alignment horizontal="center" vertical="center"/>
    </xf>
    <xf numFmtId="165" fontId="6" fillId="0" borderId="19" xfId="12" applyNumberFormat="1" applyFont="1" applyBorder="1" applyAlignment="1">
      <alignment horizontal="center" vertical="center"/>
    </xf>
    <xf numFmtId="2" fontId="6" fillId="4" borderId="0" xfId="12" applyNumberFormat="1" applyFont="1" applyFill="1" applyAlignment="1">
      <alignment horizontal="center" vertical="center"/>
    </xf>
    <xf numFmtId="0" fontId="4" fillId="0" borderId="1" xfId="12" applyFont="1" applyBorder="1" applyAlignment="1">
      <alignment horizontal="center" vertical="center"/>
    </xf>
    <xf numFmtId="0" fontId="4" fillId="0" borderId="2" xfId="12" applyFont="1" applyBorder="1" applyAlignment="1">
      <alignment vertical="center"/>
    </xf>
    <xf numFmtId="165" fontId="4" fillId="0" borderId="3" xfId="12" applyNumberFormat="1" applyFont="1" applyBorder="1" applyAlignment="1">
      <alignment vertical="center"/>
    </xf>
    <xf numFmtId="0" fontId="4" fillId="0" borderId="3" xfId="12" applyFont="1" applyBorder="1" applyAlignment="1">
      <alignment vertical="center"/>
    </xf>
    <xf numFmtId="2" fontId="4" fillId="0" borderId="3" xfId="12" applyNumberFormat="1" applyFont="1" applyBorder="1" applyAlignment="1">
      <alignment horizontal="center" vertical="center"/>
    </xf>
    <xf numFmtId="0" fontId="4" fillId="0" borderId="3" xfId="12" applyFont="1" applyBorder="1" applyAlignment="1">
      <alignment horizontal="center" vertical="center" wrapText="1"/>
    </xf>
    <xf numFmtId="0" fontId="4" fillId="0" borderId="3" xfId="12" applyFont="1" applyBorder="1" applyAlignment="1">
      <alignment horizontal="center" vertical="center"/>
    </xf>
    <xf numFmtId="0" fontId="4" fillId="0" borderId="4" xfId="12" applyFont="1" applyBorder="1" applyAlignment="1">
      <alignment horizontal="center" vertical="center"/>
    </xf>
    <xf numFmtId="165" fontId="4" fillId="0" borderId="1" xfId="12" applyNumberFormat="1" applyFont="1" applyBorder="1" applyAlignment="1">
      <alignment horizontal="center" vertical="center"/>
    </xf>
    <xf numFmtId="0" fontId="6" fillId="0" borderId="0" xfId="16" applyFont="1"/>
    <xf numFmtId="0" fontId="4" fillId="0" borderId="0" xfId="16" applyFont="1" applyAlignment="1">
      <alignment horizontal="left" vertical="center" wrapText="1"/>
    </xf>
    <xf numFmtId="0" fontId="6" fillId="0" borderId="0" xfId="17" applyFont="1"/>
    <xf numFmtId="0" fontId="6" fillId="0" borderId="0" xfId="18" applyFont="1"/>
    <xf numFmtId="0" fontId="6" fillId="0" borderId="0" xfId="18" applyFont="1" applyAlignment="1">
      <alignment horizontal="right" vertical="center"/>
    </xf>
    <xf numFmtId="0" fontId="47" fillId="0" borderId="0" xfId="19" applyFont="1"/>
    <xf numFmtId="0" fontId="47" fillId="0" borderId="0" xfId="19" applyFont="1" applyAlignment="1">
      <alignment horizontal="right" vertical="center"/>
    </xf>
    <xf numFmtId="0" fontId="24" fillId="0" borderId="71" xfId="0" applyFont="1" applyBorder="1" applyAlignment="1">
      <alignment horizontal="justify" vertical="top" wrapText="1"/>
    </xf>
    <xf numFmtId="0" fontId="4" fillId="0" borderId="0" xfId="2" applyFont="1" applyAlignment="1">
      <alignment horizontal="center" vertical="center" wrapText="1"/>
    </xf>
    <xf numFmtId="0" fontId="12" fillId="0" borderId="14" xfId="12" applyFont="1" applyBorder="1" applyAlignment="1">
      <alignment horizontal="center" vertical="center" wrapText="1"/>
    </xf>
    <xf numFmtId="0" fontId="12" fillId="2" borderId="14" xfId="12" applyFont="1" applyFill="1" applyBorder="1" applyAlignment="1">
      <alignment horizontal="center"/>
    </xf>
    <xf numFmtId="0" fontId="13" fillId="2" borderId="14" xfId="12" applyFont="1" applyFill="1" applyBorder="1" applyAlignment="1">
      <alignment horizontal="left" vertical="top" wrapText="1"/>
    </xf>
    <xf numFmtId="0" fontId="10" fillId="0" borderId="0" xfId="12" applyFont="1" applyAlignment="1">
      <alignment horizontal="center"/>
    </xf>
    <xf numFmtId="0" fontId="10" fillId="0" borderId="0" xfId="12" applyFont="1" applyAlignment="1">
      <alignment horizontal="center" vertical="center" wrapText="1"/>
    </xf>
    <xf numFmtId="0" fontId="8" fillId="0" borderId="0" xfId="12" applyFont="1" applyAlignment="1">
      <alignment horizontal="center" vertical="center" wrapText="1"/>
    </xf>
    <xf numFmtId="0" fontId="14" fillId="0" borderId="0" xfId="9" applyFont="1" applyAlignment="1">
      <alignment horizontal="center" vertical="center" wrapText="1"/>
    </xf>
    <xf numFmtId="0" fontId="15" fillId="0" borderId="0" xfId="9" applyFont="1" applyAlignment="1">
      <alignment horizontal="left" vertical="center" wrapText="1"/>
    </xf>
    <xf numFmtId="0" fontId="22" fillId="0" borderId="0" xfId="0" applyFont="1" applyAlignment="1">
      <alignment horizontal="center"/>
    </xf>
    <xf numFmtId="0" fontId="24" fillId="0" borderId="86" xfId="0" applyFont="1" applyBorder="1" applyAlignment="1">
      <alignment vertical="top" wrapText="1"/>
    </xf>
    <xf numFmtId="0" fontId="24" fillId="0" borderId="76" xfId="0" applyFont="1" applyBorder="1" applyAlignment="1">
      <alignment horizontal="justify" vertical="top" wrapText="1"/>
    </xf>
    <xf numFmtId="0" fontId="6" fillId="0" borderId="0" xfId="12" applyFont="1"/>
    <xf numFmtId="0" fontId="24" fillId="0" borderId="0" xfId="0" applyFont="1" applyAlignment="1">
      <alignment horizontal="center"/>
    </xf>
    <xf numFmtId="0" fontId="2" fillId="0" borderId="19" xfId="0" applyFont="1" applyBorder="1" applyAlignment="1">
      <alignment horizontal="center"/>
    </xf>
    <xf numFmtId="0" fontId="38" fillId="0" borderId="19" xfId="0" applyFont="1" applyBorder="1" applyAlignment="1">
      <alignment horizontal="center" vertical="top" wrapText="1"/>
    </xf>
    <xf numFmtId="0" fontId="2" fillId="0" borderId="94" xfId="0" applyFont="1" applyBorder="1" applyAlignment="1">
      <alignment horizontal="center"/>
    </xf>
    <xf numFmtId="0" fontId="13" fillId="0" borderId="61" xfId="0" applyFont="1" applyBorder="1" applyAlignment="1">
      <alignment horizontal="center" vertical="top" wrapText="1"/>
    </xf>
    <xf numFmtId="0" fontId="38" fillId="0" borderId="61" xfId="0" applyFont="1" applyBorder="1" applyAlignment="1">
      <alignment horizontal="center" vertical="top" wrapText="1"/>
    </xf>
    <xf numFmtId="0" fontId="24" fillId="0" borderId="95" xfId="0" applyFont="1" applyBorder="1" applyAlignment="1">
      <alignment horizontal="justify" vertical="top" wrapText="1"/>
    </xf>
    <xf numFmtId="171" fontId="24" fillId="0" borderId="96" xfId="0" applyNumberFormat="1" applyFont="1" applyBorder="1" applyAlignment="1">
      <alignment horizontal="justify" vertical="top" wrapText="1"/>
    </xf>
    <xf numFmtId="0" fontId="8" fillId="0" borderId="7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171" fontId="8" fillId="0" borderId="71" xfId="0" applyNumberFormat="1" applyFont="1" applyBorder="1" applyAlignment="1">
      <alignment horizontal="justify" vertical="top" wrapText="1"/>
    </xf>
    <xf numFmtId="0" fontId="8" fillId="0" borderId="0" xfId="0" applyFont="1" applyBorder="1" applyAlignment="1">
      <alignment horizontal="justify" vertical="top" wrapText="1"/>
    </xf>
    <xf numFmtId="0" fontId="8" fillId="0" borderId="75" xfId="0" applyFont="1" applyBorder="1" applyAlignment="1">
      <alignment horizontal="justify" vertical="top" wrapText="1"/>
    </xf>
    <xf numFmtId="171" fontId="10" fillId="0" borderId="72" xfId="0" applyNumberFormat="1" applyFont="1" applyBorder="1" applyAlignment="1">
      <alignment horizontal="justify" vertical="top" wrapText="1"/>
    </xf>
    <xf numFmtId="2" fontId="0" fillId="0" borderId="1" xfId="0" applyNumberFormat="1" applyBorder="1"/>
    <xf numFmtId="2" fontId="24" fillId="0" borderId="76" xfId="0" applyNumberFormat="1" applyFont="1" applyBorder="1" applyAlignment="1">
      <alignment vertical="top" wrapText="1"/>
    </xf>
    <xf numFmtId="2" fontId="24" fillId="0" borderId="72" xfId="0" applyNumberFormat="1" applyFont="1" applyBorder="1" applyAlignment="1">
      <alignment vertical="top" wrapText="1"/>
    </xf>
    <xf numFmtId="2" fontId="24" fillId="0" borderId="90" xfId="0" applyNumberFormat="1" applyFont="1" applyBorder="1" applyAlignment="1">
      <alignment vertical="top" wrapText="1"/>
    </xf>
    <xf numFmtId="2" fontId="38" fillId="0" borderId="24" xfId="0" applyNumberFormat="1" applyFont="1" applyBorder="1" applyAlignment="1">
      <alignment wrapText="1"/>
    </xf>
    <xf numFmtId="0" fontId="35" fillId="0" borderId="0" xfId="0" applyFont="1" applyAlignment="1">
      <alignment horizontal="right"/>
    </xf>
    <xf numFmtId="0" fontId="49" fillId="0" borderId="0" xfId="0" applyFont="1" applyAlignment="1">
      <alignment horizontal="justify"/>
    </xf>
    <xf numFmtId="0" fontId="49" fillId="0" borderId="0" xfId="0" applyFont="1" applyAlignment="1">
      <alignment horizontal="center"/>
    </xf>
    <xf numFmtId="0" fontId="51" fillId="0" borderId="19" xfId="0" applyFont="1" applyBorder="1" applyAlignment="1">
      <alignment horizontal="center" vertical="top" wrapText="1"/>
    </xf>
    <xf numFmtId="0" fontId="55" fillId="0" borderId="10" xfId="0" applyFont="1" applyBorder="1" applyAlignment="1">
      <alignment vertical="top" wrapText="1"/>
    </xf>
    <xf numFmtId="0" fontId="55" fillId="0" borderId="19" xfId="0" applyFont="1" applyBorder="1" applyAlignment="1">
      <alignment vertical="top" wrapText="1"/>
    </xf>
    <xf numFmtId="0" fontId="56" fillId="0" borderId="19" xfId="0" applyFont="1" applyBorder="1" applyAlignment="1">
      <alignment vertical="top" wrapText="1"/>
    </xf>
    <xf numFmtId="0" fontId="56" fillId="0" borderId="10" xfId="0" applyFont="1" applyBorder="1" applyAlignment="1">
      <alignment vertical="top" wrapText="1"/>
    </xf>
    <xf numFmtId="0" fontId="55" fillId="0" borderId="19" xfId="0" applyFont="1" applyBorder="1" applyAlignment="1">
      <alignment horizontal="center" vertical="top" wrapText="1"/>
    </xf>
    <xf numFmtId="0" fontId="51" fillId="0" borderId="6" xfId="0" applyFont="1" applyBorder="1" applyAlignment="1">
      <alignment horizontal="center" vertical="top" wrapText="1"/>
    </xf>
    <xf numFmtId="171" fontId="0" fillId="0" borderId="0" xfId="0" applyNumberFormat="1"/>
    <xf numFmtId="176" fontId="53" fillId="0" borderId="21" xfId="0" applyNumberFormat="1" applyFont="1" applyBorder="1" applyAlignment="1">
      <alignment horizontal="center" vertical="top" wrapText="1"/>
    </xf>
    <xf numFmtId="176" fontId="52" fillId="0" borderId="21" xfId="0" applyNumberFormat="1" applyFont="1" applyBorder="1" applyAlignment="1">
      <alignment horizontal="center" vertical="top" wrapText="1"/>
    </xf>
    <xf numFmtId="176" fontId="53" fillId="0" borderId="13" xfId="0" applyNumberFormat="1" applyFont="1" applyBorder="1" applyAlignment="1">
      <alignment horizontal="justify" vertical="top" wrapText="1"/>
    </xf>
    <xf numFmtId="176" fontId="53" fillId="0" borderId="13" xfId="0" applyNumberFormat="1" applyFont="1" applyBorder="1" applyAlignment="1">
      <alignment horizontal="center" vertical="top" wrapText="1"/>
    </xf>
    <xf numFmtId="0" fontId="50" fillId="0" borderId="0" xfId="0" applyFont="1"/>
    <xf numFmtId="0" fontId="50" fillId="0" borderId="0" xfId="0" applyFont="1" applyAlignment="1">
      <alignment horizontal="center"/>
    </xf>
    <xf numFmtId="0" fontId="50" fillId="0" borderId="0" xfId="0" applyFont="1" applyAlignment="1">
      <alignment horizontal="justify"/>
    </xf>
    <xf numFmtId="0" fontId="53" fillId="0" borderId="2" xfId="0" applyFont="1" applyBorder="1"/>
    <xf numFmtId="0" fontId="53" fillId="0" borderId="3" xfId="0" applyFont="1" applyBorder="1"/>
    <xf numFmtId="0" fontId="48" fillId="0" borderId="3" xfId="0" applyFont="1" applyBorder="1"/>
    <xf numFmtId="0" fontId="53" fillId="0" borderId="4" xfId="0" applyFont="1" applyBorder="1"/>
    <xf numFmtId="0" fontId="53" fillId="5" borderId="13" xfId="0" applyFont="1" applyFill="1" applyBorder="1" applyAlignment="1">
      <alignment horizontal="center" textRotation="90" wrapText="1"/>
    </xf>
    <xf numFmtId="0" fontId="53" fillId="0" borderId="13" xfId="0" applyFont="1" applyBorder="1" applyAlignment="1">
      <alignment horizontal="center" wrapText="1"/>
    </xf>
    <xf numFmtId="1" fontId="52" fillId="0" borderId="21" xfId="0" applyNumberFormat="1" applyFont="1" applyBorder="1" applyAlignment="1">
      <alignment horizontal="center" vertical="top" wrapText="1"/>
    </xf>
    <xf numFmtId="1" fontId="53" fillId="0" borderId="13" xfId="0" applyNumberFormat="1" applyFont="1" applyBorder="1" applyAlignment="1">
      <alignment horizontal="center" vertical="top" wrapText="1"/>
    </xf>
    <xf numFmtId="1" fontId="53" fillId="0" borderId="13" xfId="0" applyNumberFormat="1" applyFont="1" applyBorder="1" applyAlignment="1">
      <alignment horizontal="center" wrapText="1"/>
    </xf>
    <xf numFmtId="1" fontId="53" fillId="0" borderId="13" xfId="0" applyNumberFormat="1" applyFont="1" applyBorder="1" applyAlignment="1">
      <alignment horizontal="justify" vertical="top" wrapText="1"/>
    </xf>
    <xf numFmtId="1" fontId="53" fillId="0" borderId="21" xfId="0" applyNumberFormat="1" applyFont="1" applyBorder="1" applyAlignment="1">
      <alignment horizontal="center" vertical="top" wrapText="1"/>
    </xf>
    <xf numFmtId="1" fontId="53" fillId="0" borderId="6" xfId="0" applyNumberFormat="1" applyFont="1" applyBorder="1" applyAlignment="1">
      <alignment horizontal="center" vertical="top" wrapText="1"/>
    </xf>
    <xf numFmtId="1" fontId="53" fillId="0" borderId="19" xfId="0" applyNumberFormat="1" applyFont="1" applyBorder="1" applyAlignment="1">
      <alignment horizontal="center" vertical="top" wrapText="1"/>
    </xf>
    <xf numFmtId="1" fontId="53" fillId="0" borderId="10" xfId="0" applyNumberFormat="1" applyFont="1" applyBorder="1" applyAlignment="1">
      <alignment horizontal="center" vertical="top" wrapText="1"/>
    </xf>
    <xf numFmtId="0" fontId="13" fillId="0" borderId="14" xfId="12" applyFont="1" applyFill="1" applyBorder="1" applyAlignment="1">
      <alignment horizontal="left" vertical="top" wrapText="1"/>
    </xf>
    <xf numFmtId="0" fontId="13" fillId="0" borderId="14" xfId="12" applyFont="1" applyFill="1" applyBorder="1" applyAlignment="1">
      <alignment vertical="top"/>
    </xf>
    <xf numFmtId="0" fontId="4" fillId="0" borderId="0" xfId="12" applyFont="1" applyAlignment="1">
      <alignment horizontal="center"/>
    </xf>
    <xf numFmtId="0" fontId="4" fillId="0" borderId="0" xfId="12" applyFont="1" applyAlignment="1">
      <alignment horizontal="center" vertical="center" wrapText="1"/>
    </xf>
    <xf numFmtId="0" fontId="13" fillId="0" borderId="0" xfId="12" applyFont="1" applyAlignment="1">
      <alignment horizontal="left" vertical="top" wrapText="1"/>
    </xf>
    <xf numFmtId="4" fontId="12" fillId="0" borderId="0" xfId="12" applyNumberFormat="1" applyFont="1" applyAlignment="1">
      <alignment horizontal="center" vertical="top" wrapText="1"/>
    </xf>
    <xf numFmtId="0" fontId="13" fillId="2" borderId="63" xfId="12" applyFont="1" applyFill="1" applyBorder="1" applyAlignment="1">
      <alignment horizontal="left" vertical="top" wrapText="1"/>
    </xf>
    <xf numFmtId="0" fontId="13" fillId="2" borderId="64" xfId="12" applyFont="1" applyFill="1" applyBorder="1" applyAlignment="1">
      <alignment horizontal="left" vertical="top" wrapText="1"/>
    </xf>
    <xf numFmtId="0" fontId="13" fillId="2" borderId="69" xfId="12" applyFont="1" applyFill="1" applyBorder="1" applyAlignment="1">
      <alignment horizontal="left" vertical="top" wrapText="1"/>
    </xf>
    <xf numFmtId="0" fontId="4" fillId="0" borderId="0" xfId="2" applyFont="1" applyAlignment="1">
      <alignment horizontal="center" vertical="center" wrapText="1"/>
    </xf>
    <xf numFmtId="0" fontId="44" fillId="0" borderId="0" xfId="0" applyFont="1" applyBorder="1" applyAlignment="1">
      <alignment horizontal="center" vertical="top" wrapText="1"/>
    </xf>
    <xf numFmtId="4" fontId="4" fillId="0" borderId="0" xfId="12" applyNumberFormat="1" applyFont="1" applyAlignment="1">
      <alignment horizontal="center" vertical="center" wrapText="1"/>
    </xf>
    <xf numFmtId="0" fontId="0" fillId="0" borderId="0" xfId="0" applyAlignment="1"/>
    <xf numFmtId="0" fontId="13" fillId="0" borderId="63" xfId="12" applyFont="1" applyBorder="1" applyAlignment="1">
      <alignment horizontal="left" vertical="top" wrapText="1"/>
    </xf>
    <xf numFmtId="0" fontId="13" fillId="0" borderId="64" xfId="12" applyFont="1" applyBorder="1" applyAlignment="1">
      <alignment horizontal="left" vertical="top" wrapText="1"/>
    </xf>
    <xf numFmtId="0" fontId="13" fillId="0" borderId="69" xfId="12" applyFont="1" applyBorder="1" applyAlignment="1">
      <alignment horizontal="left" vertical="top" wrapText="1"/>
    </xf>
    <xf numFmtId="0" fontId="12" fillId="0" borderId="0" xfId="12" applyFont="1" applyAlignment="1">
      <alignment horizontal="center" vertical="top" wrapText="1"/>
    </xf>
    <xf numFmtId="0" fontId="13" fillId="0" borderId="27" xfId="12" applyFont="1" applyBorder="1" applyAlignment="1">
      <alignment vertical="top" wrapText="1"/>
    </xf>
    <xf numFmtId="0" fontId="0" fillId="0" borderId="27" xfId="0" applyBorder="1" applyAlignment="1">
      <alignment vertical="top" wrapText="1"/>
    </xf>
    <xf numFmtId="0" fontId="12" fillId="0" borderId="14" xfId="12" applyFont="1" applyBorder="1" applyAlignment="1">
      <alignment horizontal="center" vertical="center" wrapText="1"/>
    </xf>
    <xf numFmtId="0" fontId="12" fillId="2" borderId="63" xfId="12" applyFont="1" applyFill="1" applyBorder="1" applyAlignment="1">
      <alignment horizontal="center"/>
    </xf>
    <xf numFmtId="0" fontId="12" fillId="2" borderId="64" xfId="12" applyFont="1" applyFill="1" applyBorder="1" applyAlignment="1">
      <alignment horizontal="center"/>
    </xf>
    <xf numFmtId="0" fontId="12" fillId="2" borderId="69" xfId="12" applyFont="1" applyFill="1" applyBorder="1" applyAlignment="1">
      <alignment horizontal="center"/>
    </xf>
    <xf numFmtId="0" fontId="13" fillId="2" borderId="14" xfId="12" applyFont="1" applyFill="1" applyBorder="1" applyAlignment="1">
      <alignment horizontal="left" vertical="top" wrapText="1"/>
    </xf>
    <xf numFmtId="0" fontId="12" fillId="0" borderId="14" xfId="12" applyFont="1" applyFill="1" applyBorder="1" applyAlignment="1">
      <alignment horizontal="left" vertical="top" wrapText="1"/>
    </xf>
    <xf numFmtId="0" fontId="12" fillId="3" borderId="14" xfId="12" applyFont="1" applyFill="1" applyBorder="1" applyAlignment="1">
      <alignment horizontal="left" vertical="top" wrapText="1"/>
    </xf>
    <xf numFmtId="0" fontId="13" fillId="3" borderId="14" xfId="12" applyFont="1" applyFill="1" applyBorder="1" applyAlignment="1">
      <alignment horizontal="left" vertical="top" wrapText="1"/>
    </xf>
    <xf numFmtId="0" fontId="13" fillId="0" borderId="14" xfId="12" applyFont="1" applyFill="1" applyBorder="1" applyAlignment="1">
      <alignment horizontal="left" vertical="top" wrapText="1"/>
    </xf>
    <xf numFmtId="0" fontId="35" fillId="0" borderId="64" xfId="0" applyFont="1" applyBorder="1" applyAlignment="1">
      <alignment horizontal="left" vertical="top" wrapText="1"/>
    </xf>
    <xf numFmtId="0" fontId="35" fillId="0" borderId="69" xfId="0" applyFont="1" applyBorder="1" applyAlignment="1">
      <alignment horizontal="left" vertical="top" wrapText="1"/>
    </xf>
    <xf numFmtId="0" fontId="6" fillId="0" borderId="0" xfId="2" applyFont="1" applyAlignment="1">
      <alignment horizontal="left" vertical="center" wrapText="1"/>
    </xf>
    <xf numFmtId="0" fontId="6" fillId="0" borderId="0" xfId="18" applyFont="1" applyAlignment="1">
      <alignment horizontal="left" vertical="center"/>
    </xf>
    <xf numFmtId="2" fontId="10" fillId="0" borderId="31" xfId="7" applyNumberFormat="1" applyFont="1" applyBorder="1" applyAlignment="1">
      <alignment horizontal="center" vertical="center" wrapText="1"/>
    </xf>
    <xf numFmtId="2" fontId="28" fillId="0" borderId="13" xfId="22" applyNumberFormat="1" applyFont="1" applyBorder="1" applyAlignment="1">
      <alignment horizontal="center" vertical="center" wrapText="1"/>
    </xf>
    <xf numFmtId="0" fontId="4" fillId="0" borderId="2" xfId="20" applyFont="1" applyBorder="1" applyAlignment="1">
      <alignment horizontal="center" vertical="center" wrapText="1"/>
    </xf>
    <xf numFmtId="0" fontId="4" fillId="0" borderId="3" xfId="20" applyFont="1" applyBorder="1" applyAlignment="1">
      <alignment horizontal="center" vertical="center" wrapText="1"/>
    </xf>
    <xf numFmtId="0" fontId="28" fillId="0" borderId="32" xfId="22" applyFont="1" applyBorder="1" applyAlignment="1">
      <alignment horizontal="center" vertical="center" wrapText="1"/>
    </xf>
    <xf numFmtId="0" fontId="28" fillId="0" borderId="36" xfId="22" applyFont="1" applyBorder="1" applyAlignment="1">
      <alignment horizontal="center" vertical="center" wrapText="1"/>
    </xf>
    <xf numFmtId="0" fontId="28" fillId="0" borderId="33" xfId="22" applyFont="1" applyBorder="1" applyAlignment="1">
      <alignment horizontal="center" vertical="center" wrapText="1"/>
    </xf>
    <xf numFmtId="0" fontId="9" fillId="0" borderId="2" xfId="23" applyFont="1" applyBorder="1" applyAlignment="1">
      <alignment horizontal="left" vertical="center" wrapText="1"/>
    </xf>
    <xf numFmtId="0" fontId="29" fillId="0" borderId="3" xfId="4" applyFont="1" applyBorder="1" applyAlignment="1">
      <alignment horizontal="left" vertical="center" wrapText="1"/>
    </xf>
    <xf numFmtId="0" fontId="6" fillId="0" borderId="60" xfId="20" applyFont="1" applyBorder="1" applyAlignment="1">
      <alignment horizontal="center" vertical="center" wrapText="1"/>
    </xf>
    <xf numFmtId="0" fontId="6" fillId="0" borderId="33" xfId="20" applyFont="1" applyBorder="1" applyAlignment="1">
      <alignment horizontal="center" vertical="center" wrapText="1"/>
    </xf>
    <xf numFmtId="0" fontId="6" fillId="0" borderId="63" xfId="20" applyFont="1" applyBorder="1" applyAlignment="1">
      <alignment horizontal="center" vertical="center" wrapText="1"/>
    </xf>
    <xf numFmtId="0" fontId="6" fillId="0" borderId="64" xfId="20" applyFont="1" applyBorder="1" applyAlignment="1">
      <alignment horizontal="center" vertical="center" wrapText="1"/>
    </xf>
    <xf numFmtId="10" fontId="6" fillId="0" borderId="65" xfId="20" applyNumberFormat="1" applyFont="1" applyBorder="1" applyAlignment="1">
      <alignment horizontal="center" vertical="center" wrapText="1"/>
    </xf>
    <xf numFmtId="10" fontId="6" fillId="0" borderId="66" xfId="20" applyNumberFormat="1" applyFont="1" applyBorder="1" applyAlignment="1">
      <alignment horizontal="center" vertical="center" wrapText="1"/>
    </xf>
    <xf numFmtId="4" fontId="6" fillId="0" borderId="66" xfId="20" applyNumberFormat="1" applyFont="1" applyBorder="1" applyAlignment="1">
      <alignment horizontal="center" vertical="center" wrapText="1"/>
    </xf>
    <xf numFmtId="4" fontId="6" fillId="0" borderId="67" xfId="20" applyNumberFormat="1" applyFont="1" applyBorder="1" applyAlignment="1">
      <alignment horizontal="center" vertical="center" wrapText="1"/>
    </xf>
    <xf numFmtId="0" fontId="4" fillId="0" borderId="2" xfId="20" applyFont="1" applyBorder="1" applyAlignment="1">
      <alignment horizontal="right" vertical="center" wrapText="1"/>
    </xf>
    <xf numFmtId="0" fontId="4" fillId="0" borderId="3" xfId="20" applyFont="1" applyBorder="1" applyAlignment="1">
      <alignment horizontal="right" vertical="center" wrapText="1"/>
    </xf>
    <xf numFmtId="0" fontId="4" fillId="0" borderId="4" xfId="20" applyFont="1" applyBorder="1" applyAlignment="1">
      <alignment horizontal="right" vertical="center" wrapText="1"/>
    </xf>
    <xf numFmtId="0" fontId="24" fillId="0" borderId="16" xfId="7" applyFont="1" applyBorder="1" applyAlignment="1">
      <alignment horizontal="center" vertical="center" wrapText="1"/>
    </xf>
    <xf numFmtId="0" fontId="24" fillId="0" borderId="17" xfId="7" applyFont="1" applyBorder="1" applyAlignment="1">
      <alignment horizontal="center" vertical="center" wrapText="1"/>
    </xf>
    <xf numFmtId="49" fontId="4" fillId="0" borderId="2" xfId="20" applyNumberFormat="1" applyFont="1" applyBorder="1" applyAlignment="1">
      <alignment horizontal="right" vertical="center"/>
    </xf>
    <xf numFmtId="49" fontId="4" fillId="0" borderId="3" xfId="20" applyNumberFormat="1" applyFont="1" applyBorder="1" applyAlignment="1">
      <alignment horizontal="right" vertical="center"/>
    </xf>
    <xf numFmtId="0" fontId="4" fillId="0" borderId="4" xfId="20" applyFont="1" applyBorder="1" applyAlignment="1">
      <alignment horizontal="center" vertical="center" wrapText="1"/>
    </xf>
    <xf numFmtId="49" fontId="8" fillId="0" borderId="25" xfId="7" applyNumberFormat="1" applyFont="1" applyBorder="1" applyAlignment="1">
      <alignment horizontal="center" vertical="center"/>
    </xf>
    <xf numFmtId="49" fontId="8" fillId="0" borderId="10" xfId="7" applyNumberFormat="1" applyFont="1" applyBorder="1" applyAlignment="1">
      <alignment horizontal="center" vertical="center"/>
    </xf>
    <xf numFmtId="0" fontId="8" fillId="0" borderId="25" xfId="7" applyFont="1" applyBorder="1" applyAlignment="1">
      <alignment horizontal="center" vertical="center" wrapText="1"/>
    </xf>
    <xf numFmtId="0" fontId="8" fillId="0" borderId="10" xfId="7" applyFont="1" applyBorder="1" applyAlignment="1">
      <alignment horizontal="center" vertical="center" wrapText="1"/>
    </xf>
    <xf numFmtId="0" fontId="28" fillId="0" borderId="10" xfId="22" applyFont="1" applyBorder="1" applyAlignment="1">
      <alignment horizontal="center" vertical="center" wrapText="1"/>
    </xf>
    <xf numFmtId="10" fontId="8" fillId="0" borderId="29" xfId="7" applyNumberFormat="1" applyFont="1" applyBorder="1" applyAlignment="1">
      <alignment horizontal="center" vertical="center" wrapText="1"/>
    </xf>
    <xf numFmtId="10" fontId="8" fillId="0" borderId="11" xfId="7" applyNumberFormat="1" applyFont="1" applyBorder="1" applyAlignment="1">
      <alignment horizontal="center" vertical="center" wrapText="1"/>
    </xf>
    <xf numFmtId="10" fontId="8" fillId="0" borderId="30" xfId="7" applyNumberFormat="1" applyFont="1" applyBorder="1" applyAlignment="1">
      <alignment horizontal="center" vertical="center" wrapText="1"/>
    </xf>
    <xf numFmtId="10" fontId="8" fillId="0" borderId="12" xfId="7" applyNumberFormat="1" applyFont="1" applyBorder="1" applyAlignment="1">
      <alignment horizontal="center" vertical="center" wrapText="1"/>
    </xf>
    <xf numFmtId="2" fontId="8" fillId="0" borderId="30" xfId="7" applyNumberFormat="1" applyFont="1" applyBorder="1" applyAlignment="1">
      <alignment horizontal="center" vertical="center" wrapText="1"/>
    </xf>
    <xf numFmtId="2" fontId="8" fillId="0" borderId="12" xfId="7" applyNumberFormat="1" applyFont="1" applyBorder="1" applyAlignment="1">
      <alignment horizontal="center" vertical="center" wrapText="1"/>
    </xf>
    <xf numFmtId="10" fontId="8" fillId="0" borderId="30" xfId="7" applyNumberFormat="1" applyFont="1" applyBorder="1" applyAlignment="1">
      <alignment horizontal="left" vertical="center" wrapText="1"/>
    </xf>
    <xf numFmtId="10" fontId="8" fillId="0" borderId="12" xfId="7" applyNumberFormat="1" applyFont="1" applyBorder="1" applyAlignment="1">
      <alignment horizontal="left" vertical="center" wrapText="1"/>
    </xf>
    <xf numFmtId="10" fontId="8" fillId="0" borderId="31" xfId="7" applyNumberFormat="1" applyFont="1" applyBorder="1" applyAlignment="1">
      <alignment horizontal="center" vertical="center" wrapText="1"/>
    </xf>
    <xf numFmtId="10" fontId="8" fillId="0" borderId="13" xfId="7" applyNumberFormat="1" applyFont="1" applyBorder="1" applyAlignment="1">
      <alignment horizontal="center" vertical="center" wrapText="1"/>
    </xf>
    <xf numFmtId="0" fontId="6" fillId="0" borderId="3" xfId="20" applyFont="1" applyBorder="1" applyAlignment="1">
      <alignment horizontal="center" vertical="center" wrapText="1"/>
    </xf>
    <xf numFmtId="0" fontId="10" fillId="2" borderId="0" xfId="2" applyFont="1" applyFill="1" applyAlignment="1">
      <alignment horizontal="center"/>
    </xf>
    <xf numFmtId="0" fontId="10" fillId="0" borderId="0" xfId="2" applyFont="1" applyAlignment="1">
      <alignment horizontal="center"/>
    </xf>
    <xf numFmtId="0" fontId="8" fillId="0" borderId="0" xfId="2" applyFont="1" applyAlignment="1">
      <alignment horizontal="left" vertical="center" wrapText="1"/>
    </xf>
    <xf numFmtId="0" fontId="8" fillId="0" borderId="0" xfId="2" applyFont="1" applyAlignment="1">
      <alignment horizontal="center" vertical="center" wrapText="1"/>
    </xf>
    <xf numFmtId="0" fontId="4" fillId="0" borderId="35" xfId="20" applyFont="1" applyBorder="1" applyAlignment="1">
      <alignment horizontal="center" vertical="center" wrapText="1"/>
    </xf>
    <xf numFmtId="0" fontId="4" fillId="0" borderId="23" xfId="20" applyFont="1" applyBorder="1" applyAlignment="1">
      <alignment horizontal="center" vertical="center" wrapText="1"/>
    </xf>
    <xf numFmtId="0" fontId="4" fillId="0" borderId="43" xfId="20" applyFont="1" applyBorder="1" applyAlignment="1">
      <alignment horizontal="center" vertical="center" wrapText="1"/>
    </xf>
    <xf numFmtId="0" fontId="4" fillId="0" borderId="44" xfId="20" applyFont="1" applyBorder="1" applyAlignment="1">
      <alignment horizontal="center" vertical="center" wrapText="1"/>
    </xf>
    <xf numFmtId="0" fontId="4" fillId="0" borderId="24" xfId="20" applyFont="1" applyBorder="1" applyAlignment="1">
      <alignment horizontal="center" vertical="center" wrapText="1"/>
    </xf>
    <xf numFmtId="0" fontId="24" fillId="0" borderId="15" xfId="7" applyFont="1" applyBorder="1" applyAlignment="1">
      <alignment horizontal="center" vertical="center" wrapText="1"/>
    </xf>
    <xf numFmtId="49" fontId="4" fillId="0" borderId="2" xfId="20" applyNumberFormat="1" applyFont="1" applyBorder="1" applyAlignment="1">
      <alignment horizontal="center" vertical="center" wrapText="1"/>
    </xf>
    <xf numFmtId="49" fontId="4" fillId="0" borderId="3" xfId="20" applyNumberFormat="1" applyFont="1" applyBorder="1" applyAlignment="1">
      <alignment horizontal="center" vertical="center" wrapText="1"/>
    </xf>
    <xf numFmtId="49" fontId="4" fillId="0" borderId="12" xfId="20" applyNumberFormat="1" applyFont="1" applyBorder="1" applyAlignment="1">
      <alignment horizontal="center" vertical="center" wrapText="1"/>
    </xf>
    <xf numFmtId="0" fontId="4" fillId="0" borderId="57" xfId="20" applyFont="1" applyBorder="1" applyAlignment="1">
      <alignment horizontal="center" vertical="center" wrapText="1"/>
    </xf>
    <xf numFmtId="0" fontId="10" fillId="0" borderId="3" xfId="12" applyFont="1" applyBorder="1" applyAlignment="1">
      <alignment horizontal="right" vertical="center" wrapText="1"/>
    </xf>
    <xf numFmtId="0" fontId="10" fillId="0" borderId="22" xfId="12" applyFont="1" applyBorder="1" applyAlignment="1">
      <alignment horizontal="right" vertical="center" wrapText="1"/>
    </xf>
    <xf numFmtId="0" fontId="10" fillId="0" borderId="57" xfId="12" applyFont="1" applyBorder="1" applyAlignment="1">
      <alignment horizontal="right" vertical="center" wrapText="1"/>
    </xf>
    <xf numFmtId="0" fontId="8" fillId="0" borderId="9" xfId="12" applyFont="1" applyBorder="1" applyAlignment="1">
      <alignment horizontal="center" vertical="center" wrapText="1"/>
    </xf>
    <xf numFmtId="0" fontId="8" fillId="0" borderId="7" xfId="12" applyFont="1" applyBorder="1" applyAlignment="1">
      <alignment horizontal="center" vertical="center" wrapText="1"/>
    </xf>
    <xf numFmtId="0" fontId="8" fillId="0" borderId="8" xfId="12" applyFont="1" applyBorder="1" applyAlignment="1">
      <alignment horizontal="center" vertical="center" wrapText="1"/>
    </xf>
    <xf numFmtId="0" fontId="10" fillId="0" borderId="2" xfId="12" applyFont="1" applyBorder="1" applyAlignment="1">
      <alignment horizontal="left" vertical="center" wrapText="1"/>
    </xf>
    <xf numFmtId="0" fontId="10" fillId="0" borderId="3" xfId="12" applyFont="1" applyBorder="1" applyAlignment="1">
      <alignment horizontal="left" vertical="center" wrapText="1"/>
    </xf>
    <xf numFmtId="0" fontId="10" fillId="0" borderId="4" xfId="12" applyFont="1" applyBorder="1" applyAlignment="1">
      <alignment horizontal="left" vertical="center" wrapText="1"/>
    </xf>
    <xf numFmtId="0" fontId="8" fillId="0" borderId="6" xfId="12" applyFont="1" applyBorder="1" applyAlignment="1">
      <alignment horizontal="center" vertical="center" wrapText="1"/>
    </xf>
    <xf numFmtId="0" fontId="8" fillId="0" borderId="19" xfId="12" applyFont="1" applyBorder="1" applyAlignment="1">
      <alignment horizontal="center" vertical="center" wrapText="1"/>
    </xf>
    <xf numFmtId="0" fontId="8" fillId="0" borderId="10" xfId="12" applyFont="1" applyBorder="1" applyAlignment="1">
      <alignment horizontal="center" vertical="center" wrapText="1"/>
    </xf>
    <xf numFmtId="0" fontId="8" fillId="0" borderId="30" xfId="12" applyFont="1" applyBorder="1" applyAlignment="1">
      <alignment horizontal="center" vertical="center" wrapText="1"/>
    </xf>
    <xf numFmtId="0" fontId="1" fillId="0" borderId="30" xfId="6" applyBorder="1"/>
    <xf numFmtId="0" fontId="1" fillId="0" borderId="31" xfId="6" applyBorder="1"/>
    <xf numFmtId="0" fontId="1" fillId="0" borderId="0" xfId="6"/>
    <xf numFmtId="0" fontId="1" fillId="0" borderId="21" xfId="6" applyBorder="1"/>
    <xf numFmtId="0" fontId="1" fillId="0" borderId="27" xfId="6" applyBorder="1"/>
    <xf numFmtId="0" fontId="1" fillId="0" borderId="28" xfId="6" applyBorder="1"/>
    <xf numFmtId="0" fontId="8" fillId="0" borderId="11" xfId="12" applyFont="1" applyBorder="1" applyAlignment="1">
      <alignment horizontal="left" vertical="top" wrapText="1"/>
    </xf>
    <xf numFmtId="0" fontId="8" fillId="0" borderId="12" xfId="12" applyFont="1" applyBorder="1" applyAlignment="1">
      <alignment horizontal="left" vertical="top" wrapText="1"/>
    </xf>
    <xf numFmtId="0" fontId="8" fillId="0" borderId="13" xfId="12" applyFont="1" applyBorder="1" applyAlignment="1">
      <alignment horizontal="left" vertical="top" wrapText="1"/>
    </xf>
    <xf numFmtId="0" fontId="8" fillId="0" borderId="8" xfId="12" applyFont="1" applyBorder="1" applyAlignment="1">
      <alignment horizontal="left" vertical="center" wrapText="1"/>
    </xf>
    <xf numFmtId="0" fontId="1" fillId="0" borderId="21" xfId="6" applyBorder="1" applyAlignment="1">
      <alignment horizontal="left"/>
    </xf>
    <xf numFmtId="0" fontId="1" fillId="0" borderId="28" xfId="6" applyBorder="1" applyAlignment="1">
      <alignment horizontal="left"/>
    </xf>
    <xf numFmtId="0" fontId="1" fillId="0" borderId="7" xfId="6" applyBorder="1"/>
    <xf numFmtId="0" fontId="1" fillId="0" borderId="8" xfId="6" applyBorder="1"/>
    <xf numFmtId="0" fontId="8" fillId="0" borderId="27" xfId="12" applyFont="1" applyBorder="1" applyAlignment="1">
      <alignment horizontal="left" vertical="top" wrapText="1"/>
    </xf>
    <xf numFmtId="0" fontId="8" fillId="0" borderId="31" xfId="12" applyFont="1" applyBorder="1" applyAlignment="1">
      <alignment horizontal="left" vertical="center" wrapText="1"/>
    </xf>
    <xf numFmtId="0" fontId="34" fillId="0" borderId="21" xfId="6" applyFont="1" applyBorder="1" applyAlignment="1">
      <alignment horizontal="left"/>
    </xf>
    <xf numFmtId="0" fontId="34" fillId="0" borderId="28" xfId="6" applyFont="1" applyBorder="1" applyAlignment="1">
      <alignment horizontal="left"/>
    </xf>
    <xf numFmtId="0" fontId="10" fillId="0" borderId="2" xfId="12" applyFont="1" applyBorder="1" applyAlignment="1">
      <alignment horizontal="right" vertical="center"/>
    </xf>
    <xf numFmtId="0" fontId="10" fillId="0" borderId="3" xfId="12" applyFont="1" applyBorder="1" applyAlignment="1">
      <alignment horizontal="right" vertical="center"/>
    </xf>
    <xf numFmtId="0" fontId="10" fillId="0" borderId="22" xfId="12" applyFont="1" applyBorder="1" applyAlignment="1">
      <alignment horizontal="right" vertical="center"/>
    </xf>
    <xf numFmtId="0" fontId="8" fillId="0" borderId="23" xfId="12" applyFont="1" applyBorder="1" applyAlignment="1">
      <alignment horizontal="center" vertical="center" wrapText="1"/>
    </xf>
    <xf numFmtId="0" fontId="10" fillId="0" borderId="2" xfId="12" applyFont="1" applyBorder="1" applyAlignment="1">
      <alignment horizontal="center" vertical="center" wrapText="1"/>
    </xf>
    <xf numFmtId="0" fontId="10" fillId="0" borderId="3" xfId="12" applyFont="1" applyBorder="1" applyAlignment="1">
      <alignment horizontal="center" vertical="center" wrapText="1"/>
    </xf>
    <xf numFmtId="0" fontId="10" fillId="0" borderId="4" xfId="12" applyFont="1" applyBorder="1" applyAlignment="1">
      <alignment horizontal="center" vertical="center" wrapText="1"/>
    </xf>
    <xf numFmtId="0" fontId="8" fillId="0" borderId="21" xfId="12" applyFont="1" applyBorder="1" applyAlignment="1">
      <alignment horizontal="left" vertical="center" wrapText="1"/>
    </xf>
    <xf numFmtId="0" fontId="8" fillId="0" borderId="28" xfId="12" applyFont="1" applyBorder="1" applyAlignment="1">
      <alignment horizontal="left" vertical="center" wrapText="1"/>
    </xf>
    <xf numFmtId="0" fontId="8" fillId="0" borderId="31" xfId="12" applyFont="1" applyBorder="1" applyAlignment="1">
      <alignment horizontal="center" vertical="center" wrapText="1"/>
    </xf>
    <xf numFmtId="0" fontId="8" fillId="0" borderId="0" xfId="12" applyFont="1" applyAlignment="1">
      <alignment horizontal="center" vertical="center" wrapText="1"/>
    </xf>
    <xf numFmtId="0" fontId="8" fillId="0" borderId="21" xfId="12" applyFont="1" applyBorder="1" applyAlignment="1">
      <alignment horizontal="center" vertical="center" wrapText="1"/>
    </xf>
    <xf numFmtId="0" fontId="8" fillId="0" borderId="27" xfId="12" applyFont="1" applyBorder="1" applyAlignment="1">
      <alignment horizontal="center" vertical="center" wrapText="1"/>
    </xf>
    <xf numFmtId="0" fontId="8" fillId="0" borderId="28" xfId="12" applyFont="1" applyBorder="1" applyAlignment="1">
      <alignment horizontal="center" vertical="center" wrapText="1"/>
    </xf>
    <xf numFmtId="0" fontId="8" fillId="0" borderId="0" xfId="12" applyFont="1" applyAlignment="1">
      <alignment horizontal="left" vertical="top" wrapText="1"/>
    </xf>
    <xf numFmtId="0" fontId="8" fillId="0" borderId="21" xfId="12" applyFont="1" applyBorder="1" applyAlignment="1">
      <alignment horizontal="left" vertical="top" wrapText="1"/>
    </xf>
    <xf numFmtId="0" fontId="8" fillId="0" borderId="28" xfId="12" applyFont="1" applyBorder="1" applyAlignment="1">
      <alignment horizontal="left" vertical="top" wrapText="1"/>
    </xf>
    <xf numFmtId="0" fontId="8" fillId="0" borderId="13" xfId="12" applyFont="1" applyBorder="1" applyAlignment="1">
      <alignment horizontal="left" vertical="center" wrapText="1"/>
    </xf>
    <xf numFmtId="0" fontId="8" fillId="0" borderId="12" xfId="12" applyFont="1" applyBorder="1" applyAlignment="1">
      <alignment horizontal="center" vertical="center" wrapText="1"/>
    </xf>
    <xf numFmtId="0" fontId="8" fillId="0" borderId="13" xfId="12" applyFont="1" applyBorder="1" applyAlignment="1">
      <alignment horizontal="center" vertical="center" wrapText="1"/>
    </xf>
    <xf numFmtId="0" fontId="10" fillId="0" borderId="2" xfId="12" applyFont="1" applyBorder="1" applyAlignment="1">
      <alignment horizontal="right" vertical="center" wrapText="1"/>
    </xf>
    <xf numFmtId="0" fontId="8" fillId="0" borderId="6" xfId="12" applyFont="1" applyBorder="1" applyAlignment="1">
      <alignment horizontal="left" vertical="center" wrapText="1"/>
    </xf>
    <xf numFmtId="0" fontId="8" fillId="0" borderId="19" xfId="12" applyFont="1" applyBorder="1" applyAlignment="1">
      <alignment horizontal="left" vertical="center" wrapText="1"/>
    </xf>
    <xf numFmtId="0" fontId="8" fillId="0" borderId="10" xfId="12" applyFont="1" applyBorder="1" applyAlignment="1">
      <alignment horizontal="left" vertical="center" wrapText="1"/>
    </xf>
    <xf numFmtId="165" fontId="10" fillId="0" borderId="2" xfId="12" applyNumberFormat="1" applyFont="1" applyBorder="1" applyAlignment="1">
      <alignment horizontal="right" vertical="center" wrapText="1"/>
    </xf>
    <xf numFmtId="165" fontId="10" fillId="0" borderId="3" xfId="12" applyNumberFormat="1" applyFont="1" applyBorder="1" applyAlignment="1">
      <alignment horizontal="right" vertical="center" wrapText="1"/>
    </xf>
    <xf numFmtId="165" fontId="10" fillId="0" borderId="22" xfId="12" applyNumberFormat="1" applyFont="1" applyBorder="1" applyAlignment="1">
      <alignment horizontal="right" vertical="center" wrapText="1"/>
    </xf>
    <xf numFmtId="0" fontId="8" fillId="0" borderId="2" xfId="12" applyFont="1" applyBorder="1" applyAlignment="1">
      <alignment horizontal="center" vertical="center" wrapText="1"/>
    </xf>
    <xf numFmtId="0" fontId="8" fillId="0" borderId="3" xfId="12" applyFont="1" applyBorder="1" applyAlignment="1">
      <alignment horizontal="center" vertical="center" wrapText="1"/>
    </xf>
    <xf numFmtId="0" fontId="8" fillId="0" borderId="4" xfId="12" applyFont="1" applyBorder="1" applyAlignment="1">
      <alignment horizontal="center" vertical="center" wrapText="1"/>
    </xf>
    <xf numFmtId="0" fontId="8" fillId="0" borderId="20" xfId="12" applyFont="1" applyBorder="1" applyAlignment="1">
      <alignment horizontal="center" vertical="center" wrapText="1"/>
    </xf>
    <xf numFmtId="0" fontId="8" fillId="0" borderId="11" xfId="12" applyFont="1" applyBorder="1" applyAlignment="1">
      <alignment horizontal="center" vertical="center" wrapText="1"/>
    </xf>
    <xf numFmtId="0" fontId="10" fillId="0" borderId="15" xfId="12" applyFont="1" applyBorder="1" applyAlignment="1">
      <alignment horizontal="right" vertical="center" wrapText="1"/>
    </xf>
    <xf numFmtId="0" fontId="1" fillId="0" borderId="16" xfId="6" applyBorder="1"/>
    <xf numFmtId="0" fontId="1" fillId="0" borderId="17" xfId="6" applyBorder="1"/>
    <xf numFmtId="0" fontId="10" fillId="2" borderId="0" xfId="12" applyFont="1" applyFill="1" applyAlignment="1">
      <alignment horizontal="center"/>
    </xf>
    <xf numFmtId="0" fontId="10" fillId="0" borderId="0" xfId="12" applyFont="1" applyAlignment="1">
      <alignment horizontal="center"/>
    </xf>
    <xf numFmtId="0" fontId="8" fillId="0" borderId="12" xfId="12" applyFont="1" applyBorder="1" applyAlignment="1">
      <alignment horizontal="left" vertical="top"/>
    </xf>
    <xf numFmtId="0" fontId="8" fillId="0" borderId="35" xfId="12" applyFont="1" applyBorder="1" applyAlignment="1">
      <alignment horizontal="center" vertical="center" wrapText="1"/>
    </xf>
    <xf numFmtId="0" fontId="8" fillId="0" borderId="24" xfId="12" applyFont="1" applyBorder="1" applyAlignment="1">
      <alignment horizontal="center" vertical="center" wrapText="1"/>
    </xf>
    <xf numFmtId="0" fontId="8" fillId="0" borderId="5" xfId="12" applyFont="1" applyBorder="1" applyAlignment="1">
      <alignment horizontal="center" vertical="center" wrapText="1"/>
    </xf>
    <xf numFmtId="0" fontId="8" fillId="0" borderId="61" xfId="12" applyFont="1" applyBorder="1" applyAlignment="1">
      <alignment horizontal="center" vertical="center" wrapText="1"/>
    </xf>
    <xf numFmtId="0" fontId="8" fillId="0" borderId="25" xfId="12" applyFont="1" applyBorder="1" applyAlignment="1">
      <alignment horizontal="center" vertical="center" wrapText="1"/>
    </xf>
    <xf numFmtId="0" fontId="8" fillId="0" borderId="18" xfId="12" applyFont="1" applyBorder="1" applyAlignment="1">
      <alignment horizontal="center" vertical="center" wrapText="1"/>
    </xf>
    <xf numFmtId="0" fontId="6" fillId="0" borderId="0" xfId="4" applyFont="1" applyAlignment="1">
      <alignment horizontal="left" vertical="center" wrapText="1"/>
    </xf>
    <xf numFmtId="0" fontId="1" fillId="0" borderId="0" xfId="1" applyAlignment="1">
      <alignment horizontal="left" vertical="center" wrapText="1"/>
    </xf>
    <xf numFmtId="0" fontId="1" fillId="0" borderId="21" xfId="1" applyBorder="1" applyAlignment="1">
      <alignment horizontal="left" vertical="center" wrapText="1"/>
    </xf>
    <xf numFmtId="0" fontId="47" fillId="0" borderId="0" xfId="19" applyFont="1" applyAlignment="1">
      <alignment horizontal="left"/>
    </xf>
    <xf numFmtId="0" fontId="47" fillId="0" borderId="0" xfId="19" applyFont="1" applyAlignment="1">
      <alignment horizontal="right"/>
    </xf>
    <xf numFmtId="0" fontId="6" fillId="0" borderId="0" xfId="2" applyFont="1" applyAlignment="1">
      <alignment horizontal="center" vertical="center" wrapText="1"/>
    </xf>
    <xf numFmtId="0" fontId="6" fillId="0" borderId="30" xfId="12" applyFont="1" applyBorder="1"/>
    <xf numFmtId="0" fontId="6" fillId="0" borderId="0" xfId="12" applyFont="1"/>
    <xf numFmtId="0" fontId="6" fillId="0" borderId="12" xfId="12" applyFont="1" applyBorder="1"/>
    <xf numFmtId="166" fontId="6" fillId="0" borderId="31" xfId="15" applyNumberFormat="1" applyFont="1" applyFill="1" applyBorder="1" applyAlignment="1">
      <alignment horizontal="center" vertical="center"/>
    </xf>
    <xf numFmtId="166" fontId="6" fillId="0" borderId="21" xfId="15" applyNumberFormat="1" applyFont="1" applyFill="1" applyBorder="1" applyAlignment="1">
      <alignment horizontal="center" vertical="center"/>
    </xf>
    <xf numFmtId="166" fontId="6" fillId="0" borderId="13" xfId="15" applyNumberFormat="1" applyFont="1" applyFill="1" applyBorder="1" applyAlignment="1">
      <alignment horizontal="center" vertical="center"/>
    </xf>
    <xf numFmtId="165" fontId="6" fillId="0" borderId="25" xfId="15" applyFont="1" applyFill="1" applyBorder="1" applyAlignment="1">
      <alignment horizontal="center" vertical="center"/>
    </xf>
    <xf numFmtId="165" fontId="6" fillId="0" borderId="19" xfId="15" applyFont="1" applyFill="1" applyBorder="1" applyAlignment="1">
      <alignment horizontal="center" vertical="center"/>
    </xf>
    <xf numFmtId="165" fontId="6" fillId="0" borderId="10" xfId="15" applyFont="1" applyFill="1" applyBorder="1" applyAlignment="1">
      <alignment horizontal="center" vertical="center"/>
    </xf>
    <xf numFmtId="0" fontId="4" fillId="0" borderId="2" xfId="12" applyFont="1" applyBorder="1" applyAlignment="1">
      <alignment horizontal="left" vertical="center" wrapText="1"/>
    </xf>
    <xf numFmtId="0" fontId="4" fillId="0" borderId="3" xfId="12" applyFont="1" applyBorder="1" applyAlignment="1">
      <alignment horizontal="left" vertical="center" wrapText="1"/>
    </xf>
    <xf numFmtId="0" fontId="4" fillId="0" borderId="4" xfId="12" applyFont="1" applyBorder="1" applyAlignment="1">
      <alignment horizontal="left" vertical="center" wrapText="1"/>
    </xf>
    <xf numFmtId="0" fontId="6" fillId="0" borderId="0" xfId="18" applyFont="1" applyAlignment="1">
      <alignment horizontal="right" vertical="center"/>
    </xf>
    <xf numFmtId="0" fontId="4" fillId="0" borderId="2" xfId="12" applyFont="1" applyBorder="1" applyAlignment="1">
      <alignment horizontal="right" vertical="center" wrapText="1"/>
    </xf>
    <xf numFmtId="0" fontId="4" fillId="0" borderId="3" xfId="12" applyFont="1" applyBorder="1" applyAlignment="1">
      <alignment horizontal="right" vertical="center" wrapText="1"/>
    </xf>
    <xf numFmtId="0" fontId="4" fillId="0" borderId="4" xfId="12" applyFont="1" applyBorder="1" applyAlignment="1">
      <alignment horizontal="right" vertical="center" wrapText="1"/>
    </xf>
    <xf numFmtId="0" fontId="6" fillId="0" borderId="32" xfId="12" applyFont="1" applyBorder="1" applyAlignment="1">
      <alignment horizontal="center" vertical="center" wrapText="1"/>
    </xf>
    <xf numFmtId="0" fontId="6" fillId="0" borderId="33" xfId="12" applyFont="1" applyBorder="1" applyAlignment="1">
      <alignment horizontal="center" vertical="center" wrapText="1"/>
    </xf>
    <xf numFmtId="0" fontId="6" fillId="0" borderId="36" xfId="12" applyFont="1" applyBorder="1" applyAlignment="1">
      <alignment horizontal="center" vertical="center" wrapText="1"/>
    </xf>
    <xf numFmtId="0" fontId="6" fillId="0" borderId="9" xfId="4" applyFont="1" applyBorder="1" applyAlignment="1">
      <alignment horizontal="center" vertical="center" wrapText="1"/>
    </xf>
    <xf numFmtId="0" fontId="6" fillId="0" borderId="7" xfId="4" applyFont="1" applyBorder="1" applyAlignment="1">
      <alignment horizontal="center" vertical="center" wrapText="1"/>
    </xf>
    <xf numFmtId="0" fontId="6" fillId="0" borderId="8" xfId="4" applyFont="1" applyBorder="1" applyAlignment="1">
      <alignment horizontal="center" vertical="center" wrapText="1"/>
    </xf>
    <xf numFmtId="0" fontId="6" fillId="0" borderId="25" xfId="12" applyFont="1" applyBorder="1" applyAlignment="1">
      <alignment horizontal="center" vertical="center" wrapText="1"/>
    </xf>
    <xf numFmtId="0" fontId="6" fillId="0" borderId="19" xfId="12" applyFont="1" applyBorder="1" applyAlignment="1">
      <alignment horizontal="center" vertical="center" wrapText="1"/>
    </xf>
    <xf numFmtId="0" fontId="6" fillId="0" borderId="10" xfId="12" applyFont="1" applyBorder="1" applyAlignment="1">
      <alignment horizontal="center" vertical="center" wrapText="1"/>
    </xf>
    <xf numFmtId="0" fontId="6" fillId="0" borderId="29" xfId="12" applyFont="1" applyBorder="1" applyAlignment="1">
      <alignment horizontal="left" vertical="center" wrapText="1"/>
    </xf>
    <xf numFmtId="0" fontId="6" fillId="0" borderId="30" xfId="12" applyFont="1" applyBorder="1" applyAlignment="1">
      <alignment horizontal="left" vertical="center" wrapText="1"/>
    </xf>
    <xf numFmtId="0" fontId="6" fillId="0" borderId="31" xfId="12" applyFont="1" applyBorder="1" applyAlignment="1">
      <alignment horizontal="left" vertical="center" wrapText="1"/>
    </xf>
    <xf numFmtId="0" fontId="6" fillId="0" borderId="20" xfId="12" applyFont="1" applyBorder="1" applyAlignment="1">
      <alignment horizontal="left" vertical="center" wrapText="1"/>
    </xf>
    <xf numFmtId="0" fontId="6" fillId="0" borderId="0" xfId="12" applyFont="1" applyAlignment="1">
      <alignment horizontal="left" vertical="center" wrapText="1"/>
    </xf>
    <xf numFmtId="0" fontId="6" fillId="0" borderId="21" xfId="12" applyFont="1" applyBorder="1" applyAlignment="1">
      <alignment horizontal="left" vertical="center" wrapText="1"/>
    </xf>
    <xf numFmtId="0" fontId="6" fillId="0" borderId="11" xfId="12" applyFont="1" applyBorder="1" applyAlignment="1">
      <alignment horizontal="left" vertical="center" wrapText="1"/>
    </xf>
    <xf numFmtId="0" fontId="6" fillId="0" borderId="12" xfId="12" applyFont="1" applyBorder="1" applyAlignment="1">
      <alignment horizontal="left" vertical="center" wrapText="1"/>
    </xf>
    <xf numFmtId="0" fontId="6" fillId="0" borderId="13" xfId="12" applyFont="1" applyBorder="1" applyAlignment="1">
      <alignment horizontal="left" vertical="center" wrapText="1"/>
    </xf>
    <xf numFmtId="0" fontId="6" fillId="0" borderId="29" xfId="12" applyFont="1" applyBorder="1" applyAlignment="1">
      <alignment horizontal="center" vertical="center" wrapText="1"/>
    </xf>
    <xf numFmtId="0" fontId="6" fillId="0" borderId="20" xfId="12" applyFont="1" applyBorder="1" applyAlignment="1">
      <alignment horizontal="center" vertical="center" wrapText="1"/>
    </xf>
    <xf numFmtId="0" fontId="6" fillId="0" borderId="11" xfId="12" applyFont="1" applyBorder="1" applyAlignment="1">
      <alignment horizontal="center" vertical="center" wrapText="1"/>
    </xf>
    <xf numFmtId="4" fontId="6" fillId="0" borderId="30" xfId="12" applyNumberFormat="1" applyFont="1" applyBorder="1" applyAlignment="1">
      <alignment horizontal="center" vertical="center" wrapText="1"/>
    </xf>
    <xf numFmtId="4" fontId="6" fillId="0" borderId="0" xfId="12" applyNumberFormat="1" applyFont="1" applyAlignment="1">
      <alignment horizontal="center" vertical="center" wrapText="1"/>
    </xf>
    <xf numFmtId="4" fontId="6" fillId="0" borderId="12" xfId="12" applyNumberFormat="1" applyFont="1" applyBorder="1" applyAlignment="1">
      <alignment horizontal="center" vertical="center" wrapText="1"/>
    </xf>
    <xf numFmtId="0" fontId="6" fillId="0" borderId="30" xfId="12" applyFont="1" applyBorder="1" applyAlignment="1">
      <alignment horizontal="center" vertical="center"/>
    </xf>
    <xf numFmtId="0" fontId="6" fillId="0" borderId="0" xfId="12" applyFont="1" applyAlignment="1">
      <alignment horizontal="center" vertical="center"/>
    </xf>
    <xf numFmtId="0" fontId="6" fillId="0" borderId="12" xfId="12" applyFont="1" applyBorder="1" applyAlignment="1">
      <alignment horizontal="center" vertical="center"/>
    </xf>
    <xf numFmtId="0" fontId="6" fillId="3" borderId="30" xfId="12" applyFont="1" applyFill="1" applyBorder="1" applyAlignment="1">
      <alignment horizontal="center" vertical="center" wrapText="1"/>
    </xf>
    <xf numFmtId="0" fontId="6" fillId="3" borderId="0" xfId="12" applyFont="1" applyFill="1" applyAlignment="1">
      <alignment horizontal="center" vertical="center" wrapText="1"/>
    </xf>
    <xf numFmtId="0" fontId="6" fillId="3" borderId="12" xfId="12" applyFont="1" applyFill="1" applyBorder="1" applyAlignment="1">
      <alignment horizontal="center" vertical="center" wrapText="1"/>
    </xf>
    <xf numFmtId="0" fontId="6" fillId="0" borderId="30" xfId="12" applyFont="1" applyBorder="1" applyAlignment="1">
      <alignment horizontal="center" vertical="center" wrapText="1"/>
    </xf>
    <xf numFmtId="0" fontId="6" fillId="0" borderId="0" xfId="12" applyFont="1" applyAlignment="1">
      <alignment horizontal="center" vertical="center" wrapText="1"/>
    </xf>
    <xf numFmtId="0" fontId="6" fillId="0" borderId="12" xfId="12" applyFont="1" applyBorder="1" applyAlignment="1">
      <alignment horizontal="center" vertical="center" wrapText="1"/>
    </xf>
    <xf numFmtId="0" fontId="4" fillId="0" borderId="2" xfId="12" applyFont="1" applyBorder="1" applyAlignment="1">
      <alignment horizontal="right" vertical="center"/>
    </xf>
    <xf numFmtId="0" fontId="4" fillId="0" borderId="3" xfId="12" applyFont="1" applyBorder="1" applyAlignment="1">
      <alignment horizontal="right" vertical="center"/>
    </xf>
    <xf numFmtId="0" fontId="4" fillId="0" borderId="4" xfId="12" applyFont="1" applyBorder="1" applyAlignment="1">
      <alignment horizontal="right" vertical="center"/>
    </xf>
    <xf numFmtId="0" fontId="6" fillId="0" borderId="6" xfId="12" applyFont="1" applyBorder="1" applyAlignment="1">
      <alignment horizontal="center" vertical="center" wrapText="1"/>
    </xf>
    <xf numFmtId="0" fontId="6" fillId="0" borderId="9" xfId="12" applyFont="1" applyBorder="1" applyAlignment="1">
      <alignment horizontal="center" wrapText="1"/>
    </xf>
    <xf numFmtId="0" fontId="6" fillId="0" borderId="7" xfId="12" applyFont="1" applyBorder="1" applyAlignment="1">
      <alignment horizontal="center" wrapText="1"/>
    </xf>
    <xf numFmtId="0" fontId="6" fillId="0" borderId="8" xfId="12" applyFont="1" applyBorder="1" applyAlignment="1">
      <alignment horizontal="center" wrapText="1"/>
    </xf>
    <xf numFmtId="0" fontId="6" fillId="0" borderId="11" xfId="12" applyFont="1" applyBorder="1" applyAlignment="1">
      <alignment horizontal="left" vertical="top" wrapText="1"/>
    </xf>
    <xf numFmtId="0" fontId="6" fillId="0" borderId="12" xfId="12" applyFont="1" applyBorder="1" applyAlignment="1">
      <alignment horizontal="left" vertical="top" wrapText="1"/>
    </xf>
    <xf numFmtId="0" fontId="6" fillId="0" borderId="13" xfId="12" applyFont="1" applyBorder="1" applyAlignment="1">
      <alignment horizontal="left" vertical="top" wrapText="1"/>
    </xf>
    <xf numFmtId="0" fontId="6" fillId="0" borderId="31" xfId="12" applyFont="1" applyBorder="1" applyAlignment="1">
      <alignment horizontal="center" vertical="center" wrapText="1"/>
    </xf>
    <xf numFmtId="0" fontId="6" fillId="0" borderId="21" xfId="12" applyFont="1" applyBorder="1" applyAlignment="1">
      <alignment horizontal="center" vertical="center" wrapText="1"/>
    </xf>
    <xf numFmtId="0" fontId="6" fillId="0" borderId="13" xfId="12" applyFont="1" applyBorder="1" applyAlignment="1">
      <alignment horizontal="center" vertical="center" wrapText="1"/>
    </xf>
    <xf numFmtId="0" fontId="6" fillId="0" borderId="46" xfId="12" applyFont="1" applyBorder="1" applyAlignment="1">
      <alignment horizontal="center" vertical="center" wrapText="1"/>
    </xf>
    <xf numFmtId="0" fontId="6" fillId="0" borderId="51" xfId="12" applyFont="1" applyBorder="1" applyAlignment="1">
      <alignment horizontal="center" vertical="center" wrapText="1"/>
    </xf>
    <xf numFmtId="0" fontId="6" fillId="0" borderId="91" xfId="12" applyFont="1" applyBorder="1" applyAlignment="1">
      <alignment horizontal="center" vertical="center" wrapText="1"/>
    </xf>
    <xf numFmtId="0" fontId="6" fillId="0" borderId="26" xfId="12" applyFont="1" applyBorder="1" applyAlignment="1">
      <alignment horizontal="center" vertical="center" wrapText="1"/>
    </xf>
    <xf numFmtId="0" fontId="6" fillId="0" borderId="9" xfId="12" applyFont="1" applyBorder="1" applyAlignment="1">
      <alignment horizontal="center" vertical="center" wrapText="1"/>
    </xf>
    <xf numFmtId="0" fontId="6" fillId="0" borderId="7" xfId="12" applyFont="1" applyBorder="1" applyAlignment="1">
      <alignment horizontal="center" vertical="center" wrapText="1"/>
    </xf>
    <xf numFmtId="0" fontId="6" fillId="0" borderId="8" xfId="12" applyFont="1" applyBorder="1" applyAlignment="1">
      <alignment horizontal="center" vertical="center" wrapText="1"/>
    </xf>
    <xf numFmtId="0" fontId="6" fillId="0" borderId="92" xfId="12" applyFont="1" applyBorder="1" applyAlignment="1">
      <alignment horizontal="center" vertical="center" wrapText="1"/>
    </xf>
    <xf numFmtId="0" fontId="6" fillId="0" borderId="27" xfId="12" applyFont="1" applyBorder="1" applyAlignment="1">
      <alignment horizontal="center" vertical="center" wrapText="1"/>
    </xf>
    <xf numFmtId="0" fontId="6" fillId="0" borderId="28" xfId="12" applyFont="1" applyBorder="1" applyAlignment="1">
      <alignment horizontal="center" vertical="center" wrapText="1"/>
    </xf>
    <xf numFmtId="0" fontId="6" fillId="0" borderId="93" xfId="12" applyFont="1" applyBorder="1" applyAlignment="1">
      <alignment horizontal="center" vertical="center" wrapText="1"/>
    </xf>
    <xf numFmtId="0" fontId="4" fillId="0" borderId="2" xfId="12" applyFont="1" applyBorder="1" applyAlignment="1">
      <alignment horizontal="center" vertical="center" wrapText="1"/>
    </xf>
    <xf numFmtId="0" fontId="4" fillId="0" borderId="3" xfId="12" applyFont="1" applyBorder="1" applyAlignment="1">
      <alignment horizontal="center" vertical="center" wrapText="1"/>
    </xf>
    <xf numFmtId="0" fontId="4" fillId="0" borderId="4" xfId="12" applyFont="1" applyBorder="1" applyAlignment="1">
      <alignment horizontal="center" vertical="center" wrapText="1"/>
    </xf>
    <xf numFmtId="0" fontId="6" fillId="0" borderId="2" xfId="12" applyFont="1" applyBorder="1" applyAlignment="1">
      <alignment horizontal="center" vertical="center" wrapText="1"/>
    </xf>
    <xf numFmtId="0" fontId="6" fillId="0" borderId="3" xfId="12" applyFont="1" applyBorder="1" applyAlignment="1">
      <alignment horizontal="center" vertical="center" wrapText="1"/>
    </xf>
    <xf numFmtId="0" fontId="6" fillId="0" borderId="4" xfId="12" applyFont="1" applyBorder="1" applyAlignment="1">
      <alignment horizontal="center" vertical="center" wrapText="1"/>
    </xf>
    <xf numFmtId="165" fontId="4" fillId="0" borderId="2" xfId="12" applyNumberFormat="1" applyFont="1" applyBorder="1" applyAlignment="1">
      <alignment horizontal="right" vertical="center" wrapText="1"/>
    </xf>
    <xf numFmtId="165" fontId="4" fillId="0" borderId="3" xfId="12" applyNumberFormat="1" applyFont="1" applyBorder="1" applyAlignment="1">
      <alignment horizontal="right" vertical="center" wrapText="1"/>
    </xf>
    <xf numFmtId="165" fontId="4" fillId="0" borderId="4" xfId="12" applyNumberFormat="1" applyFont="1" applyBorder="1" applyAlignment="1">
      <alignment horizontal="right" vertical="center" wrapText="1"/>
    </xf>
    <xf numFmtId="0" fontId="45" fillId="0" borderId="7" xfId="12" applyFont="1" applyBorder="1" applyAlignment="1">
      <alignment horizontal="center" vertical="center" wrapText="1"/>
    </xf>
    <xf numFmtId="0" fontId="45" fillId="0" borderId="0" xfId="12" applyFont="1" applyAlignment="1">
      <alignment horizontal="center" vertical="center" wrapText="1"/>
    </xf>
    <xf numFmtId="0" fontId="45" fillId="0" borderId="12" xfId="12" applyFont="1" applyBorder="1" applyAlignment="1">
      <alignment horizontal="center" vertical="center" wrapText="1"/>
    </xf>
    <xf numFmtId="0" fontId="45" fillId="4" borderId="7" xfId="12" applyFont="1" applyFill="1" applyBorder="1" applyAlignment="1">
      <alignment horizontal="center" vertical="center" wrapText="1"/>
    </xf>
    <xf numFmtId="0" fontId="45" fillId="4" borderId="0" xfId="12" applyFont="1" applyFill="1" applyAlignment="1">
      <alignment horizontal="center" vertical="center" wrapText="1"/>
    </xf>
    <xf numFmtId="0" fontId="45" fillId="4" borderId="12" xfId="12" applyFont="1" applyFill="1" applyBorder="1" applyAlignment="1">
      <alignment horizontal="center" vertical="center" wrapText="1"/>
    </xf>
    <xf numFmtId="166" fontId="6" fillId="0" borderId="8" xfId="15" applyNumberFormat="1" applyFont="1" applyFill="1" applyBorder="1" applyAlignment="1">
      <alignment horizontal="center" vertical="center"/>
    </xf>
    <xf numFmtId="165" fontId="6" fillId="0" borderId="6" xfId="15" applyFont="1" applyFill="1" applyBorder="1" applyAlignment="1">
      <alignment horizontal="center" vertical="center"/>
    </xf>
    <xf numFmtId="0" fontId="6" fillId="0" borderId="7" xfId="12" applyFont="1" applyBorder="1" applyAlignment="1">
      <alignment horizontal="center" vertical="center"/>
    </xf>
    <xf numFmtId="0" fontId="11" fillId="0" borderId="7" xfId="12" applyFont="1" applyBorder="1" applyAlignment="1">
      <alignment horizontal="center" vertical="center" wrapText="1"/>
    </xf>
    <xf numFmtId="0" fontId="11" fillId="0" borderId="0" xfId="12" applyFont="1" applyAlignment="1">
      <alignment horizontal="center" vertical="center" wrapText="1"/>
    </xf>
    <xf numFmtId="0" fontId="11" fillId="0" borderId="12" xfId="12" applyFont="1" applyBorder="1" applyAlignment="1">
      <alignment horizontal="center" vertical="center" wrapText="1"/>
    </xf>
    <xf numFmtId="0" fontId="6" fillId="0" borderId="7" xfId="12" applyFont="1" applyBorder="1"/>
    <xf numFmtId="0" fontId="6" fillId="0" borderId="7" xfId="12" applyFont="1" applyBorder="1" applyAlignment="1">
      <alignment vertical="center"/>
    </xf>
    <xf numFmtId="0" fontId="6" fillId="0" borderId="0" xfId="12" applyFont="1" applyAlignment="1">
      <alignment vertical="center"/>
    </xf>
    <xf numFmtId="0" fontId="6" fillId="0" borderId="12" xfId="12" applyFont="1" applyBorder="1" applyAlignment="1">
      <alignment vertical="center"/>
    </xf>
    <xf numFmtId="166" fontId="6" fillId="2" borderId="8" xfId="15" applyNumberFormat="1" applyFont="1" applyFill="1" applyBorder="1" applyAlignment="1">
      <alignment horizontal="center" vertical="center"/>
    </xf>
    <xf numFmtId="166" fontId="6" fillId="2" borderId="21" xfId="15" applyNumberFormat="1" applyFont="1" applyFill="1" applyBorder="1" applyAlignment="1">
      <alignment horizontal="center" vertical="center"/>
    </xf>
    <xf numFmtId="166" fontId="6" fillId="2" borderId="13" xfId="15" applyNumberFormat="1" applyFont="1" applyFill="1" applyBorder="1" applyAlignment="1">
      <alignment horizontal="center" vertical="center"/>
    </xf>
    <xf numFmtId="0" fontId="6" fillId="0" borderId="9" xfId="12" applyFont="1" applyBorder="1" applyAlignment="1">
      <alignment horizontal="center"/>
    </xf>
    <xf numFmtId="0" fontId="6" fillId="0" borderId="20" xfId="12" applyFont="1" applyBorder="1" applyAlignment="1">
      <alignment horizontal="center"/>
    </xf>
    <xf numFmtId="0" fontId="6" fillId="0" borderId="11" xfId="12" applyFont="1" applyBorder="1" applyAlignment="1">
      <alignment horizontal="center"/>
    </xf>
    <xf numFmtId="0" fontId="6" fillId="0" borderId="12" xfId="12" applyFont="1" applyBorder="1" applyAlignment="1">
      <alignment horizontal="left" vertical="top"/>
    </xf>
    <xf numFmtId="0" fontId="13" fillId="0" borderId="44" xfId="13" applyFont="1" applyBorder="1" applyAlignment="1">
      <alignment horizontal="center" vertical="top" wrapText="1"/>
    </xf>
    <xf numFmtId="0" fontId="13" fillId="0" borderId="7" xfId="13" applyFont="1" applyBorder="1" applyAlignment="1">
      <alignment horizontal="center" vertical="top" wrapText="1"/>
    </xf>
    <xf numFmtId="0" fontId="13" fillId="0" borderId="45" xfId="13" applyFont="1" applyBorder="1" applyAlignment="1">
      <alignment horizontal="center" vertical="top" wrapText="1"/>
    </xf>
    <xf numFmtId="0" fontId="13" fillId="0" borderId="49" xfId="13" applyFont="1" applyBorder="1" applyAlignment="1">
      <alignment horizontal="center" vertical="top" wrapText="1"/>
    </xf>
    <xf numFmtId="0" fontId="13" fillId="0" borderId="50" xfId="13" applyFont="1" applyBorder="1" applyAlignment="1">
      <alignment horizontal="center" vertical="top" wrapText="1"/>
    </xf>
    <xf numFmtId="0" fontId="13" fillId="0" borderId="54" xfId="13" applyFont="1" applyBorder="1" applyAlignment="1">
      <alignment horizontal="center" vertical="top" wrapText="1"/>
    </xf>
    <xf numFmtId="0" fontId="13" fillId="0" borderId="55" xfId="13" applyFont="1" applyBorder="1" applyAlignment="1">
      <alignment horizontal="center" vertical="top" wrapText="1"/>
    </xf>
    <xf numFmtId="0" fontId="22" fillId="0" borderId="2" xfId="0" applyFont="1" applyBorder="1" applyAlignment="1">
      <alignment horizontal="left"/>
    </xf>
    <xf numFmtId="0" fontId="22" fillId="0" borderId="3" xfId="0" applyFont="1" applyBorder="1" applyAlignment="1">
      <alignment horizontal="left"/>
    </xf>
    <xf numFmtId="0" fontId="22" fillId="0" borderId="22" xfId="0" applyFont="1" applyBorder="1" applyAlignment="1">
      <alignment horizontal="left"/>
    </xf>
    <xf numFmtId="165" fontId="12" fillId="0" borderId="46" xfId="13" applyNumberFormat="1" applyFont="1" applyBorder="1" applyAlignment="1">
      <alignment horizontal="center" vertical="top" wrapText="1"/>
    </xf>
    <xf numFmtId="165" fontId="12" fillId="0" borderId="51" xfId="13" applyNumberFormat="1" applyFont="1" applyBorder="1" applyAlignment="1">
      <alignment horizontal="center" vertical="top" wrapText="1"/>
    </xf>
    <xf numFmtId="165" fontId="12" fillId="0" borderId="56" xfId="13" applyNumberFormat="1" applyFont="1" applyBorder="1" applyAlignment="1">
      <alignment horizontal="center" vertical="top" wrapText="1"/>
    </xf>
    <xf numFmtId="49" fontId="12" fillId="0" borderId="42" xfId="13" applyNumberFormat="1" applyFont="1" applyBorder="1" applyAlignment="1">
      <alignment horizontal="center" vertical="top" wrapText="1"/>
    </xf>
    <xf numFmtId="49" fontId="12" fillId="0" borderId="47" xfId="13" applyNumberFormat="1" applyFont="1" applyBorder="1" applyAlignment="1">
      <alignment horizontal="center" vertical="top" wrapText="1"/>
    </xf>
    <xf numFmtId="49" fontId="12" fillId="0" borderId="52" xfId="13" applyNumberFormat="1" applyFont="1" applyBorder="1" applyAlignment="1">
      <alignment horizontal="center" vertical="top" wrapText="1"/>
    </xf>
    <xf numFmtId="0" fontId="13" fillId="0" borderId="43" xfId="13" applyFont="1" applyBorder="1" applyAlignment="1">
      <alignment horizontal="left" vertical="top" wrapText="1"/>
    </xf>
    <xf numFmtId="0" fontId="13" fillId="0" borderId="48" xfId="13" applyFont="1" applyBorder="1" applyAlignment="1">
      <alignment horizontal="left" vertical="top" wrapText="1"/>
    </xf>
    <xf numFmtId="0" fontId="13" fillId="0" borderId="53" xfId="13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10" fillId="0" borderId="0" xfId="12" applyFont="1" applyAlignment="1">
      <alignment horizontal="center" vertical="center" wrapText="1"/>
    </xf>
    <xf numFmtId="0" fontId="13" fillId="0" borderId="14" xfId="12" applyFont="1" applyBorder="1" applyAlignment="1">
      <alignment horizontal="center" vertical="center" wrapText="1"/>
    </xf>
    <xf numFmtId="0" fontId="13" fillId="0" borderId="14" xfId="12" applyFont="1" applyBorder="1"/>
    <xf numFmtId="0" fontId="13" fillId="0" borderId="37" xfId="12" applyFont="1" applyBorder="1" applyAlignment="1">
      <alignment horizontal="center" vertical="center" wrapText="1"/>
    </xf>
    <xf numFmtId="0" fontId="13" fillId="0" borderId="38" xfId="12" applyFont="1" applyBorder="1" applyAlignment="1">
      <alignment horizontal="center" vertical="center" wrapText="1"/>
    </xf>
    <xf numFmtId="0" fontId="13" fillId="0" borderId="39" xfId="12" applyFont="1" applyBorder="1" applyAlignment="1">
      <alignment horizontal="center" vertical="center" wrapText="1"/>
    </xf>
    <xf numFmtId="0" fontId="13" fillId="0" borderId="40" xfId="12" applyFont="1" applyBorder="1" applyAlignment="1">
      <alignment horizontal="center" vertical="center" wrapText="1"/>
    </xf>
    <xf numFmtId="0" fontId="13" fillId="0" borderId="14" xfId="12" applyFont="1" applyBorder="1" applyAlignment="1">
      <alignment wrapText="1"/>
    </xf>
    <xf numFmtId="0" fontId="16" fillId="0" borderId="2" xfId="9" applyFont="1" applyBorder="1" applyAlignment="1">
      <alignment horizontal="right" vertical="center"/>
    </xf>
    <xf numFmtId="0" fontId="16" fillId="0" borderId="3" xfId="9" applyFont="1" applyBorder="1" applyAlignment="1">
      <alignment horizontal="right" vertical="center"/>
    </xf>
    <xf numFmtId="0" fontId="16" fillId="0" borderId="4" xfId="9" applyFont="1" applyBorder="1" applyAlignment="1">
      <alignment horizontal="right" vertical="center"/>
    </xf>
    <xf numFmtId="0" fontId="17" fillId="0" borderId="11" xfId="9" applyFont="1" applyBorder="1" applyAlignment="1">
      <alignment horizontal="center" vertical="center" wrapText="1"/>
    </xf>
    <xf numFmtId="0" fontId="17" fillId="0" borderId="12" xfId="9" applyFont="1" applyBorder="1" applyAlignment="1">
      <alignment horizontal="center" vertical="center" wrapText="1"/>
    </xf>
    <xf numFmtId="0" fontId="16" fillId="0" borderId="9" xfId="11" applyFont="1" applyBorder="1" applyAlignment="1">
      <alignment horizontal="left" vertical="center" wrapText="1"/>
    </xf>
    <xf numFmtId="0" fontId="16" fillId="0" borderId="7" xfId="11" applyFont="1" applyBorder="1" applyAlignment="1">
      <alignment horizontal="left" vertical="center" wrapText="1"/>
    </xf>
    <xf numFmtId="0" fontId="16" fillId="0" borderId="8" xfId="11" applyFont="1" applyBorder="1" applyAlignment="1">
      <alignment horizontal="left" vertical="center" wrapText="1"/>
    </xf>
    <xf numFmtId="0" fontId="17" fillId="0" borderId="6" xfId="11" applyFont="1" applyBorder="1" applyAlignment="1">
      <alignment horizontal="center" vertical="top" wrapText="1"/>
    </xf>
    <xf numFmtId="0" fontId="17" fillId="0" borderId="19" xfId="11" applyFont="1" applyBorder="1" applyAlignment="1">
      <alignment horizontal="center" vertical="top" wrapText="1"/>
    </xf>
    <xf numFmtId="2" fontId="16" fillId="2" borderId="6" xfId="11" applyNumberFormat="1" applyFont="1" applyFill="1" applyBorder="1" applyAlignment="1">
      <alignment horizontal="center" vertical="center"/>
    </xf>
    <xf numFmtId="2" fontId="16" fillId="2" borderId="19" xfId="11" applyNumberFormat="1" applyFont="1" applyFill="1" applyBorder="1" applyAlignment="1">
      <alignment horizontal="center" vertical="center"/>
    </xf>
    <xf numFmtId="0" fontId="17" fillId="0" borderId="20" xfId="11" applyFont="1" applyBorder="1" applyAlignment="1">
      <alignment horizontal="center" vertical="center" wrapText="1"/>
    </xf>
    <xf numFmtId="0" fontId="17" fillId="0" borderId="0" xfId="11" applyFont="1" applyAlignment="1">
      <alignment horizontal="center" vertical="center" wrapText="1"/>
    </xf>
    <xf numFmtId="2" fontId="16" fillId="2" borderId="8" xfId="11" applyNumberFormat="1" applyFont="1" applyFill="1" applyBorder="1" applyAlignment="1">
      <alignment horizontal="center" vertical="center"/>
    </xf>
    <xf numFmtId="2" fontId="16" fillId="2" borderId="21" xfId="11" applyNumberFormat="1" applyFont="1" applyFill="1" applyBorder="1" applyAlignment="1">
      <alignment horizontal="center" vertical="center"/>
    </xf>
    <xf numFmtId="0" fontId="16" fillId="0" borderId="9" xfId="9" applyFont="1" applyBorder="1" applyAlignment="1">
      <alignment horizontal="center" vertical="center" wrapText="1"/>
    </xf>
    <xf numFmtId="0" fontId="16" fillId="0" borderId="7" xfId="9" applyFont="1" applyBorder="1" applyAlignment="1">
      <alignment horizontal="center" vertical="center" wrapText="1"/>
    </xf>
    <xf numFmtId="0" fontId="16" fillId="0" borderId="8" xfId="9" applyFont="1" applyBorder="1" applyAlignment="1">
      <alignment horizontal="center" vertical="center" wrapText="1"/>
    </xf>
    <xf numFmtId="0" fontId="17" fillId="0" borderId="6" xfId="9" applyFont="1" applyBorder="1" applyAlignment="1">
      <alignment horizontal="center" vertical="center" wrapText="1"/>
    </xf>
    <xf numFmtId="0" fontId="17" fillId="0" borderId="19" xfId="9" applyFont="1" applyBorder="1" applyAlignment="1">
      <alignment horizontal="center" vertical="center" wrapText="1"/>
    </xf>
    <xf numFmtId="0" fontId="17" fillId="0" borderId="10" xfId="9" applyFont="1" applyBorder="1" applyAlignment="1">
      <alignment horizontal="center" vertical="center" wrapText="1"/>
    </xf>
    <xf numFmtId="2" fontId="16" fillId="2" borderId="6" xfId="9" applyNumberFormat="1" applyFont="1" applyFill="1" applyBorder="1" applyAlignment="1">
      <alignment horizontal="center" vertical="center"/>
    </xf>
    <xf numFmtId="2" fontId="16" fillId="2" borderId="19" xfId="9" applyNumberFormat="1" applyFont="1" applyFill="1" applyBorder="1" applyAlignment="1">
      <alignment horizontal="center" vertical="center"/>
    </xf>
    <xf numFmtId="2" fontId="16" fillId="2" borderId="10" xfId="9" applyNumberFormat="1" applyFont="1" applyFill="1" applyBorder="1" applyAlignment="1">
      <alignment horizontal="center" vertical="center"/>
    </xf>
    <xf numFmtId="0" fontId="17" fillId="0" borderId="20" xfId="9" applyFont="1" applyBorder="1" applyAlignment="1">
      <alignment horizontal="center" vertical="center"/>
    </xf>
    <xf numFmtId="0" fontId="17" fillId="0" borderId="0" xfId="9" applyFont="1" applyAlignment="1">
      <alignment horizontal="center" vertical="center"/>
    </xf>
    <xf numFmtId="0" fontId="17" fillId="0" borderId="5" xfId="9" applyFont="1" applyBorder="1" applyAlignment="1">
      <alignment horizontal="center" vertical="center" wrapText="1"/>
    </xf>
    <xf numFmtId="0" fontId="17" fillId="0" borderId="61" xfId="9" applyFont="1" applyBorder="1" applyAlignment="1">
      <alignment horizontal="center" vertical="center" wrapText="1"/>
    </xf>
    <xf numFmtId="0" fontId="17" fillId="0" borderId="18" xfId="9" applyFont="1" applyBorder="1" applyAlignment="1">
      <alignment horizontal="center" vertical="center" wrapText="1"/>
    </xf>
    <xf numFmtId="2" fontId="16" fillId="2" borderId="6" xfId="9" applyNumberFormat="1" applyFont="1" applyFill="1" applyBorder="1" applyAlignment="1">
      <alignment horizontal="center" vertical="center" wrapText="1"/>
    </xf>
    <xf numFmtId="2" fontId="16" fillId="2" borderId="19" xfId="9" applyNumberFormat="1" applyFont="1" applyFill="1" applyBorder="1" applyAlignment="1">
      <alignment horizontal="center" vertical="center" wrapText="1"/>
    </xf>
    <xf numFmtId="2" fontId="16" fillId="2" borderId="10" xfId="9" applyNumberFormat="1" applyFont="1" applyFill="1" applyBorder="1" applyAlignment="1">
      <alignment horizontal="center" vertical="center" wrapText="1"/>
    </xf>
    <xf numFmtId="0" fontId="17" fillId="0" borderId="21" xfId="9" applyFont="1" applyBorder="1" applyAlignment="1">
      <alignment horizontal="center" vertical="center"/>
    </xf>
    <xf numFmtId="2" fontId="16" fillId="2" borderId="36" xfId="9" applyNumberFormat="1" applyFont="1" applyFill="1" applyBorder="1" applyAlignment="1">
      <alignment horizontal="center" vertical="center"/>
    </xf>
    <xf numFmtId="2" fontId="16" fillId="2" borderId="68" xfId="9" applyNumberFormat="1" applyFont="1" applyFill="1" applyBorder="1" applyAlignment="1">
      <alignment horizontal="center" vertical="center"/>
    </xf>
    <xf numFmtId="2" fontId="16" fillId="2" borderId="17" xfId="9" applyNumberFormat="1" applyFont="1" applyFill="1" applyBorder="1" applyAlignment="1">
      <alignment horizontal="center" vertical="center"/>
    </xf>
    <xf numFmtId="0" fontId="16" fillId="0" borderId="35" xfId="9" applyFont="1" applyBorder="1" applyAlignment="1">
      <alignment horizontal="center" vertical="center" wrapText="1"/>
    </xf>
    <xf numFmtId="0" fontId="16" fillId="0" borderId="23" xfId="9" applyFont="1" applyBorder="1" applyAlignment="1">
      <alignment horizontal="center" vertical="center" wrapText="1"/>
    </xf>
    <xf numFmtId="0" fontId="16" fillId="0" borderId="24" xfId="9" applyFont="1" applyBorder="1" applyAlignment="1">
      <alignment horizontal="center" vertical="center" wrapText="1"/>
    </xf>
    <xf numFmtId="0" fontId="16" fillId="0" borderId="2" xfId="9" applyFont="1" applyBorder="1" applyAlignment="1">
      <alignment horizontal="center" vertical="center" wrapText="1"/>
    </xf>
    <xf numFmtId="0" fontId="16" fillId="0" borderId="3" xfId="9" applyFont="1" applyBorder="1" applyAlignment="1">
      <alignment horizontal="center" vertical="center" wrapText="1"/>
    </xf>
    <xf numFmtId="0" fontId="16" fillId="0" borderId="4" xfId="9" applyFont="1" applyBorder="1" applyAlignment="1">
      <alignment horizontal="center" vertical="center" wrapText="1"/>
    </xf>
    <xf numFmtId="0" fontId="14" fillId="0" borderId="0" xfId="9" applyFont="1" applyAlignment="1">
      <alignment horizontal="center" vertical="center"/>
    </xf>
    <xf numFmtId="0" fontId="16" fillId="0" borderId="9" xfId="9" applyFont="1" applyBorder="1" applyAlignment="1">
      <alignment horizontal="center" vertical="top" wrapText="1"/>
    </xf>
    <xf numFmtId="0" fontId="16" fillId="0" borderId="7" xfId="9" applyFont="1" applyBorder="1" applyAlignment="1">
      <alignment horizontal="center" vertical="top" wrapText="1"/>
    </xf>
    <xf numFmtId="0" fontId="16" fillId="0" borderId="8" xfId="9" applyFont="1" applyBorder="1" applyAlignment="1">
      <alignment horizontal="center" vertical="top" wrapText="1"/>
    </xf>
    <xf numFmtId="0" fontId="24" fillId="0" borderId="82" xfId="0" applyFont="1" applyBorder="1" applyAlignment="1">
      <alignment horizontal="justify" vertical="top" wrapText="1"/>
    </xf>
    <xf numFmtId="0" fontId="24" fillId="0" borderId="84" xfId="0" applyFont="1" applyBorder="1" applyAlignment="1">
      <alignment horizontal="justify" vertical="top" wrapText="1"/>
    </xf>
    <xf numFmtId="0" fontId="22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4" fillId="0" borderId="86" xfId="0" applyFont="1" applyBorder="1" applyAlignment="1">
      <alignment vertical="top" wrapText="1"/>
    </xf>
    <xf numFmtId="0" fontId="24" fillId="0" borderId="87" xfId="0" applyFont="1" applyBorder="1" applyAlignment="1">
      <alignment vertical="top" wrapText="1"/>
    </xf>
    <xf numFmtId="0" fontId="24" fillId="0" borderId="88" xfId="0" applyFont="1" applyBorder="1" applyAlignment="1">
      <alignment vertical="top" wrapText="1"/>
    </xf>
    <xf numFmtId="0" fontId="24" fillId="0" borderId="73" xfId="0" applyFont="1" applyBorder="1" applyAlignment="1">
      <alignment vertical="top" wrapText="1"/>
    </xf>
    <xf numFmtId="0" fontId="24" fillId="0" borderId="71" xfId="0" applyFont="1" applyBorder="1" applyAlignment="1">
      <alignment horizontal="justify" vertical="top" wrapText="1"/>
    </xf>
    <xf numFmtId="0" fontId="24" fillId="0" borderId="76" xfId="0" applyFont="1" applyBorder="1" applyAlignment="1">
      <alignment horizontal="justify" vertical="top" wrapText="1"/>
    </xf>
    <xf numFmtId="0" fontId="24" fillId="0" borderId="83" xfId="0" applyFont="1" applyBorder="1" applyAlignment="1">
      <alignment horizontal="justify" vertical="top" wrapText="1"/>
    </xf>
    <xf numFmtId="0" fontId="24" fillId="0" borderId="0" xfId="0" applyFont="1" applyBorder="1" applyAlignment="1">
      <alignment horizontal="center" vertical="top" wrapText="1"/>
    </xf>
    <xf numFmtId="0" fontId="24" fillId="0" borderId="70" xfId="0" applyFont="1" applyBorder="1" applyAlignment="1">
      <alignment horizontal="justify" vertical="top" wrapText="1"/>
    </xf>
    <xf numFmtId="0" fontId="24" fillId="0" borderId="73" xfId="0" applyFont="1" applyBorder="1" applyAlignment="1">
      <alignment horizontal="justify" vertical="top" wrapText="1"/>
    </xf>
    <xf numFmtId="0" fontId="24" fillId="0" borderId="81" xfId="0" applyFont="1" applyBorder="1" applyAlignment="1">
      <alignment horizontal="justify" vertical="top" wrapText="1"/>
    </xf>
    <xf numFmtId="0" fontId="24" fillId="0" borderId="79" xfId="0" applyFont="1" applyBorder="1" applyAlignment="1">
      <alignment horizontal="justify" vertical="top" wrapText="1"/>
    </xf>
    <xf numFmtId="1" fontId="53" fillId="0" borderId="6" xfId="0" applyNumberFormat="1" applyFont="1" applyBorder="1" applyAlignment="1">
      <alignment horizontal="center" wrapText="1"/>
    </xf>
    <xf numFmtId="1" fontId="53" fillId="0" borderId="19" xfId="0" applyNumberFormat="1" applyFont="1" applyBorder="1" applyAlignment="1">
      <alignment horizontal="center" wrapText="1"/>
    </xf>
    <xf numFmtId="1" fontId="53" fillId="0" borderId="10" xfId="0" applyNumberFormat="1" applyFont="1" applyBorder="1" applyAlignment="1">
      <alignment horizontal="center" wrapText="1"/>
    </xf>
    <xf numFmtId="0" fontId="53" fillId="0" borderId="6" xfId="0" applyFont="1" applyBorder="1" applyAlignment="1">
      <alignment horizontal="center" wrapText="1"/>
    </xf>
    <xf numFmtId="0" fontId="53" fillId="0" borderId="19" xfId="0" applyFont="1" applyBorder="1" applyAlignment="1">
      <alignment horizontal="center" wrapText="1"/>
    </xf>
    <xf numFmtId="0" fontId="53" fillId="0" borderId="10" xfId="0" applyFont="1" applyBorder="1" applyAlignment="1">
      <alignment horizontal="center" wrapText="1"/>
    </xf>
    <xf numFmtId="0" fontId="48" fillId="5" borderId="6" xfId="0" applyFont="1" applyFill="1" applyBorder="1" applyAlignment="1">
      <alignment horizontal="center" vertical="top" wrapText="1"/>
    </xf>
    <xf numFmtId="0" fontId="48" fillId="5" borderId="10" xfId="0" applyFont="1" applyFill="1" applyBorder="1" applyAlignment="1">
      <alignment horizontal="center" vertical="top" wrapText="1"/>
    </xf>
    <xf numFmtId="0" fontId="54" fillId="0" borderId="6" xfId="0" applyFont="1" applyBorder="1" applyAlignment="1">
      <alignment horizontal="center" wrapText="1"/>
    </xf>
    <xf numFmtId="0" fontId="54" fillId="0" borderId="19" xfId="0" applyFont="1" applyBorder="1" applyAlignment="1">
      <alignment horizontal="center" wrapText="1"/>
    </xf>
    <xf numFmtId="0" fontId="54" fillId="0" borderId="10" xfId="0" applyFont="1" applyBorder="1" applyAlignment="1">
      <alignment horizontal="center" wrapText="1"/>
    </xf>
    <xf numFmtId="177" fontId="0" fillId="0" borderId="0" xfId="0" applyNumberFormat="1"/>
    <xf numFmtId="173" fontId="12" fillId="2" borderId="14" xfId="12" applyNumberFormat="1" applyFont="1" applyFill="1" applyBorder="1" applyAlignment="1">
      <alignment horizontal="center"/>
    </xf>
    <xf numFmtId="173" fontId="12" fillId="2" borderId="69" xfId="12" applyNumberFormat="1" applyFont="1" applyFill="1" applyBorder="1" applyAlignment="1">
      <alignment horizontal="center"/>
    </xf>
    <xf numFmtId="173" fontId="13" fillId="0" borderId="14" xfId="12" applyNumberFormat="1" applyFont="1" applyFill="1" applyBorder="1" applyAlignment="1">
      <alignment horizontal="right" vertical="center" wrapText="1"/>
    </xf>
    <xf numFmtId="173" fontId="13" fillId="2" borderId="14" xfId="12" applyNumberFormat="1" applyFont="1" applyFill="1" applyBorder="1" applyAlignment="1">
      <alignment horizontal="left" vertical="top" wrapText="1"/>
    </xf>
    <xf numFmtId="173" fontId="13" fillId="2" borderId="14" xfId="12" applyNumberFormat="1" applyFont="1" applyFill="1" applyBorder="1" applyAlignment="1">
      <alignment horizontal="right" vertical="center" wrapText="1"/>
    </xf>
    <xf numFmtId="173" fontId="13" fillId="2" borderId="69" xfId="12" applyNumberFormat="1" applyFont="1" applyFill="1" applyBorder="1" applyAlignment="1">
      <alignment horizontal="left" vertical="top" wrapText="1"/>
    </xf>
    <xf numFmtId="173" fontId="13" fillId="2" borderId="69" xfId="12" applyNumberFormat="1" applyFont="1" applyFill="1" applyBorder="1" applyAlignment="1">
      <alignment horizontal="right" vertical="center" wrapText="1"/>
    </xf>
    <xf numFmtId="173" fontId="13" fillId="0" borderId="69" xfId="12" applyNumberFormat="1" applyFont="1" applyBorder="1" applyAlignment="1">
      <alignment horizontal="right" vertical="center" wrapText="1"/>
    </xf>
    <xf numFmtId="173" fontId="13" fillId="0" borderId="14" xfId="12" applyNumberFormat="1" applyFont="1" applyBorder="1" applyAlignment="1">
      <alignment horizontal="right" vertical="center" wrapText="1"/>
    </xf>
    <xf numFmtId="173" fontId="12" fillId="3" borderId="14" xfId="12" applyNumberFormat="1" applyFont="1" applyFill="1" applyBorder="1" applyAlignment="1">
      <alignment horizontal="right" vertical="center" wrapText="1"/>
    </xf>
    <xf numFmtId="173" fontId="13" fillId="3" borderId="14" xfId="12" applyNumberFormat="1" applyFont="1" applyFill="1" applyBorder="1" applyAlignment="1">
      <alignment horizontal="right" vertical="center" wrapText="1"/>
    </xf>
    <xf numFmtId="173" fontId="13" fillId="3" borderId="14" xfId="12" applyNumberFormat="1" applyFont="1" applyFill="1" applyBorder="1" applyAlignment="1">
      <alignment horizontal="right" vertical="center"/>
    </xf>
    <xf numFmtId="173" fontId="13" fillId="0" borderId="14" xfId="12" applyNumberFormat="1" applyFont="1" applyFill="1" applyBorder="1" applyAlignment="1">
      <alignment horizontal="right" vertical="center"/>
    </xf>
    <xf numFmtId="173" fontId="12" fillId="3" borderId="14" xfId="12" applyNumberFormat="1" applyFont="1" applyFill="1" applyBorder="1" applyAlignment="1">
      <alignment horizontal="right" vertical="center"/>
    </xf>
    <xf numFmtId="2" fontId="23" fillId="0" borderId="69" xfId="0" applyNumberFormat="1" applyFont="1" applyBorder="1" applyAlignment="1">
      <alignment horizontal="center" vertical="center" wrapText="1"/>
    </xf>
    <xf numFmtId="2" fontId="12" fillId="0" borderId="69" xfId="12" applyNumberFormat="1" applyFont="1" applyBorder="1" applyAlignment="1">
      <alignment horizontal="center" vertical="center" wrapText="1"/>
    </xf>
    <xf numFmtId="2" fontId="12" fillId="0" borderId="14" xfId="12" applyNumberFormat="1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/>
    </xf>
    <xf numFmtId="2" fontId="2" fillId="0" borderId="14" xfId="0" applyNumberFormat="1" applyFont="1" applyBorder="1" applyAlignment="1">
      <alignment horizontal="center" vertical="center"/>
    </xf>
    <xf numFmtId="2" fontId="37" fillId="0" borderId="0" xfId="0" applyNumberFormat="1" applyFont="1" applyAlignment="1">
      <alignment horizontal="center" vertical="center"/>
    </xf>
    <xf numFmtId="1" fontId="12" fillId="2" borderId="14" xfId="12" applyNumberFormat="1" applyFont="1" applyFill="1" applyBorder="1" applyAlignment="1">
      <alignment horizontal="center"/>
    </xf>
    <xf numFmtId="1" fontId="12" fillId="2" borderId="14" xfId="12" applyNumberFormat="1" applyFont="1" applyFill="1" applyBorder="1" applyAlignment="1">
      <alignment horizontal="center"/>
    </xf>
    <xf numFmtId="170" fontId="20" fillId="0" borderId="14" xfId="12" applyNumberFormat="1" applyFont="1" applyFill="1" applyBorder="1" applyAlignment="1">
      <alignment horizontal="right" vertical="center" wrapText="1"/>
    </xf>
    <xf numFmtId="170" fontId="20" fillId="0" borderId="14" xfId="12" applyNumberFormat="1" applyFont="1" applyFill="1" applyBorder="1" applyAlignment="1">
      <alignment horizontal="right" vertical="center"/>
    </xf>
  </cellXfs>
  <cellStyles count="24">
    <cellStyle name="Обычный" xfId="0" builtinId="0"/>
    <cellStyle name="Обычный 12 5" xfId="1" xr:uid="{00000000-0005-0000-0000-000001000000}"/>
    <cellStyle name="Обычный 2 10" xfId="3" xr:uid="{00000000-0005-0000-0000-000002000000}"/>
    <cellStyle name="Обычный 2 2" xfId="6" xr:uid="{00000000-0005-0000-0000-000003000000}"/>
    <cellStyle name="Обычный 2 2 2 10" xfId="19" xr:uid="{00000000-0005-0000-0000-000004000000}"/>
    <cellStyle name="Обычный 2 2 2 11 2 3" xfId="23" xr:uid="{00000000-0005-0000-0000-000005000000}"/>
    <cellStyle name="Обычный 2 2 2 2" xfId="22" xr:uid="{00000000-0005-0000-0000-000006000000}"/>
    <cellStyle name="Обычный 2 2 2 4" xfId="4" xr:uid="{00000000-0005-0000-0000-000007000000}"/>
    <cellStyle name="Обычный 2 2 5 2" xfId="5" xr:uid="{00000000-0005-0000-0000-000008000000}"/>
    <cellStyle name="Обычный 2 2 6 2" xfId="18" xr:uid="{00000000-0005-0000-0000-000009000000}"/>
    <cellStyle name="Обычный 2 3" xfId="7" xr:uid="{00000000-0005-0000-0000-00000A000000}"/>
    <cellStyle name="Обычный 2 3 3" xfId="20" xr:uid="{00000000-0005-0000-0000-00000B000000}"/>
    <cellStyle name="Обычный 2 8" xfId="9" xr:uid="{00000000-0005-0000-0000-00000C000000}"/>
    <cellStyle name="Обычный 2 8 3" xfId="11" xr:uid="{00000000-0005-0000-0000-00000D000000}"/>
    <cellStyle name="Обычный 27" xfId="21" xr:uid="{00000000-0005-0000-0000-00000E000000}"/>
    <cellStyle name="Обычный 3" xfId="12" xr:uid="{00000000-0005-0000-0000-00000F000000}"/>
    <cellStyle name="Обычный 3 2 2" xfId="16" xr:uid="{00000000-0005-0000-0000-000010000000}"/>
    <cellStyle name="Обычный 4 2" xfId="13" xr:uid="{00000000-0005-0000-0000-000011000000}"/>
    <cellStyle name="Обычный 4 2 2" xfId="17" xr:uid="{00000000-0005-0000-0000-000012000000}"/>
    <cellStyle name="Обычный_ЗРУ 110 ТЭЦ-4" xfId="14" xr:uid="{00000000-0005-0000-0000-000013000000}"/>
    <cellStyle name="Обычный_сметы 16550 1" xfId="2" xr:uid="{00000000-0005-0000-0000-000014000000}"/>
    <cellStyle name="Финансовый 2" xfId="8" xr:uid="{00000000-0005-0000-0000-000015000000}"/>
    <cellStyle name="Финансовый 2 3" xfId="15" xr:uid="{00000000-0005-0000-0000-000016000000}"/>
    <cellStyle name="Финансовый 3" xfId="10" xr:uid="{00000000-0005-0000-0000-00001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0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externalLink" Target="externalLinks/externalLink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58;&#1072;&#1090;&#1100;&#1103;&#1085;&#1072;/Local%20Settings/Temporary%20Internet%20Files/Content.Outlook/K7A3UC0N/&#1057;&#1084;&#1077;&#1090;&#1072;%20%20&#1055;&#1048;&#1056;%20&#1051;&#1054;&#1058;%205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ata\&#1057;&#1052;&#1045;&#1058;&#1067;%20&#1055;&#1048;&#1056;%20&#1062;&#1069;&#1055;\&#1057;&#1084;&#1077;&#1090;&#1099;%20&#1060;&#1057;&#1050;\&#1052;&#1050;70\&#1050;&#1086;&#1087;&#1080;&#1103;%20&#1057;&#1084;&#1077;&#1090;&#1072;%20&#1085;&#1072;%20&#1055;&#1048;&#1056;%20&#1087;&#1086;%20&#1042;&#1051;%20500%20&#1082;&#1042;%20&#1052;&#1050;70%20&#1076;&#1083;&#1103;%20&#1101;&#1082;&#1089;&#1087;&#1077;&#1088;&#1090;&#1080;&#1079;&#1099;%2028.11.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\&#1056;&#1072;&#1073;&#1086;&#1090;&#1072;%20&#1074;%20&#1062;&#1077;&#1085;&#1090;&#1088;&#1069;&#1085;&#1077;&#1088;&#1075;&#1086;&#1055;&#1088;&#1086;&#1077;&#1082;&#1090;\&#1050;&#1054;&#1053;&#1050;&#1059;&#1056;&#1057;&#1053;&#1040;&#1071;\&#1052;&#1056;&#1057;&#1050;\&#1050;&#1091;&#1079;&#1073;&#1072;&#1089;&#1089;\&#1056;&#1072;&#1089;&#1087;&#1072;&#1076;&#1089;&#1082;&#1072;&#1103;\&#1050;&#1044;\&#1044;&#1086;&#1075;&#1086;&#1074;&#1086;&#1088;\&#1057;&#1084;&#1077;&#1090;&#1072;%20&#1042;&#1051;%20110%20&#1082;&#1042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4;&#1090;&#1076;&#1077;&#1083;&#1099;\&#1056;&#1072;&#1073;&#1086;&#1090;&#1072;\&#1050;&#1054;&#1053;&#1082;&#1091;&#1088;&#1057;&#1053;&#1040;&#1071;\&#1055;&#1056;&#1048;&#1052;&#1045;&#1056;%20&#1050;&#1091;&#1079;&#1073;&#1072;&#1089;&#1089;\&#1050;&#1044;_&#1055;&#1072;&#1076;&#1091;&#1085;&#1089;&#1082;&#1072;&#1103;\&#1089;&#1084;&#1077;&#1090;&#1099;\&#1042;&#1051;%2010%20&#1082;&#1042;%20&#1055;&#1072;&#1076;&#1091;&#1085;&#1089;&#1082;&#1072;&#1103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vo-d\d\&#1042;&#1080;&#1083;&#1099;\GEODESIA\Natasha\&#1042;&#1053;&#1048;&#1048;&#1056;\&#1057;&#1084;&#1077;&#1090;&#107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ata\&#1056;&#1072;&#1073;&#1086;&#1090;&#1072;%20&#1074;%20&#1062;&#1077;&#1085;&#1090;&#1088;&#1069;&#1085;&#1077;&#1088;&#1075;&#1086;&#1055;&#1088;&#1086;&#1077;&#1082;&#1090;\&#1050;&#1054;&#1053;&#1050;&#1059;&#1056;&#1057;&#1053;&#1040;&#1071;\&#1052;&#1056;&#1057;&#1050;\&#1050;&#1091;&#1079;&#1073;&#1072;&#1089;&#1089;\&#1056;&#1072;&#1089;&#1087;&#1072;&#1076;&#1089;&#1082;&#1072;&#1103;\&#1050;&#1044;\&#1055;&#1052;&#1050;%20&#1056;&#1072;&#1089;&#1087;&#1072;&#1076;&#1089;&#1082;&#1072;&#1103;%20&#1076;&#1086;&#1075;&#1086;&#1074;&#1086;&#1088;\&#1055;&#1088;&#1080;&#1083;.2,%20&#1087;&#1088;&#1080;&#1083;.5.1-5.13%20&#1057;&#1084;&#1077;&#1090;&#1072;%20&#1055;&#1057;%20&#1056;&#1072;&#1089;&#1087;&#1072;&#1076;&#1089;&#1082;&#1072;&#1103;%20&#1055;&#1052;&#1050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DembovskayaIV\&#1052;&#1086;&#1080;%20&#1076;&#1086;&#1082;&#1091;&#1084;&#1077;&#1085;&#1090;&#1099;\&#1048;&#1088;&#1080;&#1085;&#1072;\&#1057;&#1084;&#1077;&#1090;&#1099;%20&#1085;&#1072;%20&#1055;&#1048;&#1056;\2011%20&#1075;&#1086;&#1076;\&#1056;&#1077;&#1082;&#1086;&#1085;&#1089;&#1090;&#1088;&#1091;&#1082;&#1094;&#1080;&#1103;%20&#1055;&#1057;%20110%20&#1047;&#1072;&#1087;,%20&#1057;&#1077;&#1074;-&#1047;&#1072;&#1087;%20,&#1057;&#1098;&#1077;&#1079;&#1076;\&#1055;&#1057;%20&#1082;%20&#1076;&#1086;&#1075;&#1086;&#1074;&#1086;&#1088;&#1091;\2_&#1050;&#1054;&#1056;&#1056;&#1045;&#1050;&#1058;_&#1062;&#1069;&#1055;_&#1055;&#1057;%20&#1047;&#1072;&#1087;&#1072;&#1076;&#1085;&#1072;&#1103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FilEB\Application%20Data\Microsoft\Excel\&#1057;&#1084;&#1077;&#1090;&#1072;_&#1055;&#1057;%20&#1040;&#1083;&#1090;&#1072;&#1081;&#1089;&#1082;&#1080;&#1081;%20&#1041;&#1077;&#1082;&#1086;&#1085;_29%2006%201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FILE03\common\Documents%20and%20Settings\FilEB\Application%20Data\Microsoft\Excel\&#1057;&#1084;&#1077;&#1090;&#1072;_&#1055;&#1057;%20&#1040;&#1083;&#1090;&#1072;&#1081;&#1089;&#1082;&#1080;&#1081;%20&#1041;&#1077;&#1082;&#1086;&#1085;_29%2006%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ПИР"/>
      <sheetName val="геодезия КТП"/>
      <sheetName val="геодзия 0,4 "/>
      <sheetName val="гос.экспертиза"/>
      <sheetName val="СМР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"/>
      <sheetName val="ВЛ 500 ПД"/>
      <sheetName val="ООС"/>
      <sheetName val="ГОиЧС"/>
      <sheetName val="Геология ВЛ"/>
      <sheetName val="Геодезия ВЛ"/>
      <sheetName val="Справка"/>
      <sheetName val="ГЭК"/>
      <sheetName val="ВЛ 500 РД"/>
      <sheetName val="Геология ВЛ (2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I3">
            <v>4</v>
          </cell>
        </row>
        <row r="4">
          <cell r="I4">
            <v>6</v>
          </cell>
        </row>
        <row r="5">
          <cell r="I5">
            <v>8</v>
          </cell>
        </row>
        <row r="6">
          <cell r="I6">
            <v>12</v>
          </cell>
        </row>
        <row r="7">
          <cell r="I7">
            <v>16</v>
          </cell>
        </row>
        <row r="8">
          <cell r="I8">
            <v>20</v>
          </cell>
        </row>
        <row r="9">
          <cell r="I9">
            <v>24</v>
          </cell>
        </row>
        <row r="10">
          <cell r="I10">
            <v>28</v>
          </cell>
        </row>
        <row r="11">
          <cell r="I11">
            <v>32</v>
          </cell>
        </row>
        <row r="12">
          <cell r="I12">
            <v>36</v>
          </cell>
        </row>
        <row r="13">
          <cell r="I13">
            <v>40</v>
          </cell>
        </row>
        <row r="14">
          <cell r="I14">
            <v>44</v>
          </cell>
        </row>
        <row r="15">
          <cell r="I15">
            <v>48</v>
          </cell>
        </row>
        <row r="16">
          <cell r="I16">
            <v>52</v>
          </cell>
        </row>
        <row r="17">
          <cell r="I17">
            <v>56</v>
          </cell>
        </row>
        <row r="18">
          <cell r="I18">
            <v>60</v>
          </cell>
        </row>
        <row r="19">
          <cell r="I19">
            <v>80</v>
          </cell>
        </row>
        <row r="20">
          <cell r="I20">
            <v>100</v>
          </cell>
        </row>
        <row r="21">
          <cell r="I21">
            <v>120</v>
          </cell>
        </row>
        <row r="22">
          <cell r="I22">
            <v>140</v>
          </cell>
        </row>
        <row r="23">
          <cell r="I23">
            <v>160</v>
          </cell>
        </row>
        <row r="24">
          <cell r="I24">
            <v>180</v>
          </cell>
        </row>
        <row r="25">
          <cell r="I25">
            <v>200</v>
          </cell>
        </row>
        <row r="26">
          <cell r="I26">
            <v>280</v>
          </cell>
        </row>
        <row r="27">
          <cell r="I27">
            <v>360</v>
          </cell>
        </row>
        <row r="28">
          <cell r="I28">
            <v>440</v>
          </cell>
        </row>
        <row r="29">
          <cell r="I29">
            <v>520</v>
          </cell>
        </row>
        <row r="30">
          <cell r="I30">
            <v>600</v>
          </cell>
        </row>
        <row r="31">
          <cell r="I31">
            <v>680</v>
          </cell>
        </row>
        <row r="32">
          <cell r="I32">
            <v>760</v>
          </cell>
        </row>
        <row r="33">
          <cell r="I33">
            <v>840</v>
          </cell>
        </row>
        <row r="34">
          <cell r="I34">
            <v>920</v>
          </cell>
        </row>
        <row r="35">
          <cell r="I35">
            <v>1000</v>
          </cell>
        </row>
      </sheetData>
      <sheetData sheetId="8" refreshError="1"/>
      <sheetData sheetId="9" refreshError="1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"/>
      <sheetName val="ВЛ 110"/>
      <sheetName val="ООС"/>
      <sheetName val="ГОиЧС"/>
      <sheetName val="Геология ВЛ"/>
      <sheetName val="Геодезия ВЛ"/>
      <sheetName val="ГЭК110"/>
      <sheetName val="Справка"/>
    </sheetNames>
    <sheetDataSet>
      <sheetData sheetId="0">
        <row r="2">
          <cell r="C2" t="str">
            <v>???????????? Проектная документация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A3">
            <v>12</v>
          </cell>
          <cell r="I3">
            <v>4</v>
          </cell>
        </row>
        <row r="4">
          <cell r="I4">
            <v>6</v>
          </cell>
        </row>
        <row r="5">
          <cell r="I5">
            <v>8</v>
          </cell>
        </row>
        <row r="6">
          <cell r="I6">
            <v>12</v>
          </cell>
        </row>
        <row r="7">
          <cell r="I7">
            <v>16</v>
          </cell>
        </row>
        <row r="8">
          <cell r="I8">
            <v>20</v>
          </cell>
        </row>
        <row r="9">
          <cell r="I9">
            <v>24</v>
          </cell>
        </row>
        <row r="10">
          <cell r="I10">
            <v>28</v>
          </cell>
        </row>
        <row r="11">
          <cell r="I11">
            <v>32</v>
          </cell>
        </row>
        <row r="12">
          <cell r="I12">
            <v>36</v>
          </cell>
        </row>
        <row r="13">
          <cell r="I13">
            <v>40</v>
          </cell>
        </row>
        <row r="14">
          <cell r="I14">
            <v>44</v>
          </cell>
        </row>
        <row r="15">
          <cell r="I15">
            <v>48</v>
          </cell>
        </row>
        <row r="16">
          <cell r="I16">
            <v>52</v>
          </cell>
        </row>
        <row r="17">
          <cell r="I17">
            <v>56</v>
          </cell>
        </row>
        <row r="18">
          <cell r="I18">
            <v>60</v>
          </cell>
        </row>
        <row r="19">
          <cell r="I19">
            <v>80</v>
          </cell>
        </row>
        <row r="20">
          <cell r="I20">
            <v>100</v>
          </cell>
        </row>
        <row r="21">
          <cell r="I21">
            <v>120</v>
          </cell>
        </row>
        <row r="22">
          <cell r="I22">
            <v>140</v>
          </cell>
        </row>
        <row r="23">
          <cell r="I23">
            <v>160</v>
          </cell>
        </row>
        <row r="24">
          <cell r="I24">
            <v>180</v>
          </cell>
        </row>
        <row r="25">
          <cell r="I25">
            <v>200</v>
          </cell>
        </row>
        <row r="26">
          <cell r="I26">
            <v>280</v>
          </cell>
        </row>
        <row r="27">
          <cell r="I27">
            <v>360</v>
          </cell>
        </row>
        <row r="28">
          <cell r="I28">
            <v>440</v>
          </cell>
        </row>
        <row r="29">
          <cell r="I29">
            <v>520</v>
          </cell>
        </row>
        <row r="30">
          <cell r="I30">
            <v>600</v>
          </cell>
        </row>
        <row r="31">
          <cell r="I31">
            <v>680</v>
          </cell>
        </row>
        <row r="32">
          <cell r="I32">
            <v>760</v>
          </cell>
        </row>
        <row r="33">
          <cell r="I33">
            <v>840</v>
          </cell>
        </row>
        <row r="34">
          <cell r="I34">
            <v>920</v>
          </cell>
        </row>
        <row r="35">
          <cell r="I35">
            <v>1000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водник"/>
      <sheetName val="Нов. уч."/>
      <sheetName val="ООС"/>
      <sheetName val="ПБ"/>
      <sheetName val="Геология"/>
      <sheetName val="Геодезия"/>
      <sheetName val="ГЭК"/>
    </sheetNames>
    <sheetDataSet>
      <sheetData sheetId="0"/>
      <sheetData sheetId="1">
        <row r="16">
          <cell r="H16">
            <v>796.69401621496434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-Т"/>
      <sheetName val="ЛЧ"/>
    </sheetNames>
    <sheetDataSet>
      <sheetData sheetId="0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110"/>
      <sheetName val="АИИСКУЭ"/>
      <sheetName val="АСУТП"/>
      <sheetName val="СС"/>
      <sheetName val="СПРЭ"/>
      <sheetName val="ПА"/>
      <sheetName val="ООС"/>
      <sheetName val="ПБ"/>
      <sheetName val="Геология ПС"/>
      <sheetName val="Геодезия ПС"/>
      <sheetName val="ВЛ 110"/>
      <sheetName val="Геология ВЛ"/>
      <sheetName val="Геодезия ВЛ"/>
      <sheetName val="ГЭК110"/>
      <sheetName val="Справка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A3">
            <v>12</v>
          </cell>
        </row>
        <row r="4">
          <cell r="A4">
            <v>16</v>
          </cell>
        </row>
        <row r="5">
          <cell r="A5">
            <v>20</v>
          </cell>
        </row>
        <row r="6">
          <cell r="A6">
            <v>24</v>
          </cell>
        </row>
        <row r="7">
          <cell r="A7">
            <v>28</v>
          </cell>
        </row>
        <row r="8">
          <cell r="A8">
            <v>32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17"/>
      <sheetData sheetId="1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топография"/>
      <sheetName val="Справка"/>
      <sheetName val="СметаСводная"/>
      <sheetName val="Данные для расчёта сметы"/>
      <sheetName val="ПО 1-7"/>
      <sheetName val="Коэфф1."/>
      <sheetName val="Курс_доллара"/>
      <sheetName val="ставки"/>
    </sheetNames>
    <sheetDataSet>
      <sheetData sheetId="0"/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Ведомость"/>
      <sheetName val="Свод ПС"/>
      <sheetName val="Смета ПС110"/>
      <sheetName val="Внешняя дорога"/>
      <sheetName val="АИИСКУЭ"/>
      <sheetName val="АСУТП"/>
      <sheetName val="СПРЭ"/>
      <sheetName val="ООС"/>
      <sheetName val="ПБ"/>
      <sheetName val="ГЭК110"/>
      <sheetName val="Справка"/>
    </sheetNames>
    <sheetDataSet>
      <sheetData sheetId="0">
        <row r="4">
          <cell r="C4" t="str">
            <v>Филиал ОАО «МРСК Сибири» - «Омскэнерго»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>
        <row r="3">
          <cell r="L3">
            <v>1</v>
          </cell>
        </row>
        <row r="4">
          <cell r="L4">
            <v>2</v>
          </cell>
        </row>
        <row r="5">
          <cell r="L5">
            <v>3</v>
          </cell>
        </row>
        <row r="6">
          <cell r="L6">
            <v>4</v>
          </cell>
        </row>
        <row r="7">
          <cell r="L7">
            <v>5</v>
          </cell>
        </row>
        <row r="8">
          <cell r="L8">
            <v>6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35"/>
      <sheetName val="АИИСКУЭ"/>
      <sheetName val="АСУТП"/>
      <sheetName val="Видеонаблюдение"/>
      <sheetName val="ООС"/>
      <sheetName val="ПБ"/>
      <sheetName val="Геодезия ПС"/>
      <sheetName val="Геология_ПС"/>
      <sheetName val="Смета ПС110"/>
      <sheetName val="Геодезия ПС (2)"/>
      <sheetName val="Геология_ПС (2)"/>
      <sheetName val="Смета ПС35 (2)"/>
      <sheetName val="Геодезия ПС (3)"/>
      <sheetName val="Геология_ПС (3)"/>
      <sheetName val="ВЛ 35"/>
      <sheetName val="Геодезия ВЛ"/>
      <sheetName val="Геология_ВЛ"/>
      <sheetName val="ВЛ 10 кВ"/>
      <sheetName val="Геодезия ВЛ (2)"/>
      <sheetName val="Геология_ВЛ (2)"/>
      <sheetName val="ГЭК"/>
      <sheetName val="Справка"/>
      <sheetName val="Лист1"/>
    </sheetNames>
    <sheetDataSet>
      <sheetData sheetId="0">
        <row r="3">
          <cell r="C3" t="str">
            <v>---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5">
          <cell r="B5" t="str">
            <v>Прохождение Госэкспертизы</v>
          </cell>
        </row>
      </sheetData>
      <sheetData sheetId="23">
        <row r="3">
          <cell r="A3">
            <v>12</v>
          </cell>
          <cell r="L3">
            <v>1</v>
          </cell>
        </row>
        <row r="4">
          <cell r="A4">
            <v>16</v>
          </cell>
          <cell r="L4">
            <v>2</v>
          </cell>
        </row>
        <row r="5">
          <cell r="A5">
            <v>20</v>
          </cell>
          <cell r="L5">
            <v>3</v>
          </cell>
        </row>
        <row r="6">
          <cell r="A6">
            <v>24</v>
          </cell>
          <cell r="L6">
            <v>4</v>
          </cell>
        </row>
        <row r="7">
          <cell r="A7">
            <v>28</v>
          </cell>
          <cell r="L7">
            <v>5</v>
          </cell>
        </row>
        <row r="8">
          <cell r="A8">
            <v>32</v>
          </cell>
          <cell r="L8">
            <v>6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2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Д."/>
      <sheetName val="Свод ПС"/>
      <sheetName val="Смета ПС35"/>
      <sheetName val="АИИСКУЭ"/>
      <sheetName val="АСУТП"/>
      <sheetName val="Видеонаблюдение"/>
      <sheetName val="ООС"/>
      <sheetName val="ПБ"/>
      <sheetName val="Геодезия ПС"/>
      <sheetName val="Геология_ПС"/>
      <sheetName val="Смета ПС110"/>
      <sheetName val="Геодезия ПС (2)"/>
      <sheetName val="Геология_ПС (2)"/>
      <sheetName val="Смета ПС35 (2)"/>
      <sheetName val="Геодезия ПС (3)"/>
      <sheetName val="Геология_ПС (3)"/>
      <sheetName val="ВЛ 35"/>
      <sheetName val="Геодезия ВЛ"/>
      <sheetName val="Геология_ВЛ"/>
      <sheetName val="ВЛ 10 кВ"/>
      <sheetName val="Геодезия ВЛ (2)"/>
      <sheetName val="Геология_ВЛ (2)"/>
      <sheetName val="ГЭК"/>
      <sheetName val="Справка"/>
      <sheetName val="Лист1"/>
    </sheetNames>
    <sheetDataSet>
      <sheetData sheetId="0">
        <row r="3">
          <cell r="C3" t="str">
            <v>---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5">
          <cell r="B5" t="str">
            <v>Прохождение Госэкспертизы</v>
          </cell>
        </row>
      </sheetData>
      <sheetData sheetId="23">
        <row r="3">
          <cell r="A3">
            <v>12</v>
          </cell>
        </row>
        <row r="4">
          <cell r="A4">
            <v>16</v>
          </cell>
        </row>
        <row r="5">
          <cell r="A5">
            <v>20</v>
          </cell>
        </row>
        <row r="6">
          <cell r="A6">
            <v>24</v>
          </cell>
        </row>
        <row r="7">
          <cell r="A7">
            <v>28</v>
          </cell>
        </row>
        <row r="8">
          <cell r="A8">
            <v>32</v>
          </cell>
        </row>
        <row r="9">
          <cell r="A9">
            <v>36</v>
          </cell>
        </row>
        <row r="10">
          <cell r="A10">
            <v>40</v>
          </cell>
        </row>
        <row r="11">
          <cell r="A11">
            <v>48</v>
          </cell>
        </row>
        <row r="12">
          <cell r="A12">
            <v>56</v>
          </cell>
        </row>
        <row r="13">
          <cell r="A13">
            <v>64</v>
          </cell>
        </row>
        <row r="14">
          <cell r="A14">
            <v>72</v>
          </cell>
        </row>
        <row r="15">
          <cell r="A15">
            <v>80</v>
          </cell>
        </row>
        <row r="16">
          <cell r="A16">
            <v>90</v>
          </cell>
        </row>
        <row r="17">
          <cell r="A17">
            <v>100</v>
          </cell>
        </row>
        <row r="18">
          <cell r="A18">
            <v>110</v>
          </cell>
        </row>
        <row r="19">
          <cell r="A19">
            <v>120</v>
          </cell>
        </row>
        <row r="20">
          <cell r="A20">
            <v>130</v>
          </cell>
        </row>
        <row r="21">
          <cell r="A21">
            <v>145</v>
          </cell>
        </row>
        <row r="22">
          <cell r="A22">
            <v>160</v>
          </cell>
        </row>
        <row r="23">
          <cell r="A23">
            <v>175</v>
          </cell>
        </row>
        <row r="24">
          <cell r="A24">
            <v>190</v>
          </cell>
        </row>
        <row r="25">
          <cell r="A25">
            <v>205</v>
          </cell>
        </row>
        <row r="26">
          <cell r="A26">
            <v>220</v>
          </cell>
        </row>
        <row r="27">
          <cell r="A27">
            <v>240</v>
          </cell>
        </row>
        <row r="28">
          <cell r="A28">
            <v>260</v>
          </cell>
        </row>
        <row r="29">
          <cell r="A29">
            <v>280</v>
          </cell>
        </row>
        <row r="30">
          <cell r="A30">
            <v>300</v>
          </cell>
        </row>
        <row r="31">
          <cell r="A31">
            <v>320</v>
          </cell>
        </row>
      </sheetData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C4"/>
  <sheetViews>
    <sheetView workbookViewId="0">
      <selection activeCell="C4" sqref="C4"/>
    </sheetView>
  </sheetViews>
  <sheetFormatPr defaultRowHeight="14.5" x14ac:dyDescent="0.35"/>
  <sheetData>
    <row r="3" spans="3:3" x14ac:dyDescent="0.35">
      <c r="C3" t="s">
        <v>0</v>
      </c>
    </row>
    <row r="4" spans="3:3" x14ac:dyDescent="0.35">
      <c r="C4" t="s"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F26"/>
  <sheetViews>
    <sheetView topLeftCell="A10" workbookViewId="0">
      <selection activeCell="K17" sqref="K17"/>
    </sheetView>
  </sheetViews>
  <sheetFormatPr defaultRowHeight="14.5" x14ac:dyDescent="0.35"/>
  <cols>
    <col min="1" max="1" width="2.453125" customWidth="1"/>
    <col min="2" max="2" width="9.453125" customWidth="1"/>
    <col min="3" max="3" width="32.453125" customWidth="1"/>
    <col min="4" max="4" width="28" customWidth="1"/>
    <col min="5" max="5" width="16.453125" customWidth="1"/>
    <col min="6" max="6" width="13.54296875" customWidth="1"/>
  </cols>
  <sheetData>
    <row r="2" spans="2:6" ht="15.5" x14ac:dyDescent="0.35">
      <c r="B2" s="306"/>
      <c r="D2" s="468" t="s">
        <v>357</v>
      </c>
    </row>
    <row r="3" spans="2:6" ht="15.5" x14ac:dyDescent="0.35">
      <c r="B3" s="306"/>
      <c r="C3" s="307" t="s">
        <v>264</v>
      </c>
      <c r="D3" s="307"/>
      <c r="E3" s="307"/>
    </row>
    <row r="4" spans="2:6" ht="18.75" customHeight="1" x14ac:dyDescent="0.35">
      <c r="B4" s="306"/>
      <c r="C4" s="308"/>
      <c r="D4" s="309"/>
      <c r="E4" s="309"/>
    </row>
    <row r="5" spans="2:6" ht="49.5" customHeight="1" x14ac:dyDescent="0.35">
      <c r="B5" s="882" t="s">
        <v>82</v>
      </c>
      <c r="C5" s="882"/>
      <c r="D5" s="533" t="s">
        <v>232</v>
      </c>
      <c r="E5" s="533"/>
    </row>
    <row r="6" spans="2:6" x14ac:dyDescent="0.35">
      <c r="B6" t="s">
        <v>265</v>
      </c>
    </row>
    <row r="7" spans="2:6" ht="17.25" customHeight="1" x14ac:dyDescent="0.35">
      <c r="B7" t="s">
        <v>266</v>
      </c>
    </row>
    <row r="8" spans="2:6" ht="15.5" x14ac:dyDescent="0.35">
      <c r="B8" s="306"/>
      <c r="C8" s="309"/>
      <c r="D8" s="309"/>
      <c r="E8" s="309"/>
    </row>
    <row r="9" spans="2:6" ht="16" thickBot="1" x14ac:dyDescent="0.4">
      <c r="C9" s="307"/>
    </row>
    <row r="10" spans="2:6" ht="31.5" customHeight="1" x14ac:dyDescent="0.35">
      <c r="B10" s="259" t="s">
        <v>189</v>
      </c>
      <c r="C10" s="879" t="s">
        <v>82</v>
      </c>
      <c r="D10" s="883" t="s">
        <v>250</v>
      </c>
      <c r="E10" s="884"/>
      <c r="F10" s="260" t="s">
        <v>251</v>
      </c>
    </row>
    <row r="11" spans="2:6" ht="15.5" x14ac:dyDescent="0.35">
      <c r="B11" s="310" t="s">
        <v>252</v>
      </c>
      <c r="C11" s="880"/>
      <c r="D11" s="885">
        <v>100</v>
      </c>
      <c r="E11" s="886"/>
      <c r="F11" s="274" t="s">
        <v>253</v>
      </c>
    </row>
    <row r="12" spans="2:6" ht="15.5" x14ac:dyDescent="0.35">
      <c r="B12" s="311"/>
      <c r="C12" s="880"/>
      <c r="D12" s="885"/>
      <c r="E12" s="886"/>
      <c r="F12" s="312"/>
    </row>
    <row r="13" spans="2:6" ht="16.5" customHeight="1" thickBot="1" x14ac:dyDescent="0.4">
      <c r="B13" s="313"/>
      <c r="C13" s="881"/>
      <c r="D13" s="871" t="s">
        <v>254</v>
      </c>
      <c r="E13" s="872"/>
      <c r="F13" s="314"/>
    </row>
    <row r="14" spans="2:6" ht="16" thickBot="1" x14ac:dyDescent="0.4">
      <c r="B14" s="315">
        <v>1</v>
      </c>
      <c r="C14" s="315">
        <v>2</v>
      </c>
      <c r="D14" s="316"/>
      <c r="E14" s="316"/>
      <c r="F14" s="317">
        <v>5</v>
      </c>
    </row>
    <row r="15" spans="2:6" ht="16" thickBot="1" x14ac:dyDescent="0.4">
      <c r="B15" s="315">
        <v>1</v>
      </c>
      <c r="C15" s="875" t="s">
        <v>268</v>
      </c>
      <c r="D15" s="876"/>
      <c r="E15" s="877"/>
      <c r="F15" s="878"/>
    </row>
    <row r="16" spans="2:6" ht="32.25" customHeight="1" thickBot="1" x14ac:dyDescent="0.4">
      <c r="B16" s="318">
        <v>1</v>
      </c>
      <c r="C16" s="319" t="s">
        <v>255</v>
      </c>
      <c r="D16" s="319"/>
      <c r="E16" s="273"/>
      <c r="F16" s="486">
        <f>'СВОД.ПС+ВЛ'!H19</f>
        <v>1744.8322942705649</v>
      </c>
    </row>
    <row r="17" spans="2:6" ht="42" customHeight="1" thickBot="1" x14ac:dyDescent="0.4">
      <c r="B17" s="320">
        <v>2</v>
      </c>
      <c r="C17" s="321" t="s">
        <v>348</v>
      </c>
      <c r="D17" s="469"/>
      <c r="E17" s="322"/>
      <c r="F17" s="487">
        <f>'СВОД.ПС+ВЛ'!G19</f>
        <v>284.19204024691311</v>
      </c>
    </row>
    <row r="18" spans="2:6" ht="21.75" customHeight="1" thickBot="1" x14ac:dyDescent="0.4">
      <c r="B18" s="323">
        <v>3</v>
      </c>
      <c r="C18" s="324" t="s">
        <v>256</v>
      </c>
      <c r="D18" s="324"/>
      <c r="E18" s="325"/>
      <c r="F18" s="488">
        <f>'СВОД.ПС+ВЛ'!K19</f>
        <v>80.471299999999999</v>
      </c>
    </row>
    <row r="19" spans="2:6" ht="47.25" customHeight="1" thickBot="1" x14ac:dyDescent="0.4">
      <c r="B19" s="320">
        <v>4</v>
      </c>
      <c r="C19" s="326" t="s">
        <v>257</v>
      </c>
      <c r="D19" s="326"/>
      <c r="E19" s="326"/>
      <c r="F19" s="489">
        <f>'СВОД.ПС+ВЛ'!J19</f>
        <v>6.1636585135000006</v>
      </c>
    </row>
    <row r="20" spans="2:6" ht="54.75" customHeight="1" thickBot="1" x14ac:dyDescent="0.4">
      <c r="B20" s="323">
        <v>5</v>
      </c>
      <c r="C20" s="324" t="s">
        <v>258</v>
      </c>
      <c r="D20" s="324"/>
      <c r="E20" s="326"/>
      <c r="F20" s="489">
        <f>F16+F17+F18+F19</f>
        <v>2115.6592930309785</v>
      </c>
    </row>
    <row r="21" spans="2:6" ht="59.25" customHeight="1" thickBot="1" x14ac:dyDescent="0.4">
      <c r="B21" s="320">
        <v>6</v>
      </c>
      <c r="C21" s="324" t="s">
        <v>267</v>
      </c>
      <c r="D21" s="324"/>
      <c r="E21" s="326" t="s">
        <v>356</v>
      </c>
      <c r="F21" s="489">
        <f>F20*0.08</f>
        <v>169.25274344247828</v>
      </c>
    </row>
    <row r="22" spans="2:6" ht="60" customHeight="1" thickBot="1" x14ac:dyDescent="0.4">
      <c r="B22" s="323">
        <v>7</v>
      </c>
      <c r="C22" s="327" t="s">
        <v>269</v>
      </c>
      <c r="D22" s="327" t="s">
        <v>259</v>
      </c>
      <c r="E22" s="328" t="s">
        <v>355</v>
      </c>
      <c r="F22" s="487">
        <f>F21*0.2</f>
        <v>33.850548688495657</v>
      </c>
    </row>
    <row r="23" spans="2:6" ht="16" thickBot="1" x14ac:dyDescent="0.4">
      <c r="B23" s="320">
        <v>8</v>
      </c>
      <c r="C23" s="329" t="s">
        <v>260</v>
      </c>
      <c r="D23" s="331"/>
      <c r="E23" s="329"/>
      <c r="F23" s="490">
        <f>F21+F22</f>
        <v>203.10329213097393</v>
      </c>
    </row>
    <row r="24" spans="2:6" x14ac:dyDescent="0.35">
      <c r="B24" s="330" t="s">
        <v>261</v>
      </c>
    </row>
    <row r="25" spans="2:6" ht="15.5" x14ac:dyDescent="0.35">
      <c r="B25" s="873" t="s">
        <v>262</v>
      </c>
      <c r="C25" s="873"/>
      <c r="E25" s="874"/>
      <c r="F25" s="874"/>
    </row>
    <row r="26" spans="2:6" x14ac:dyDescent="0.35">
      <c r="E26" t="s">
        <v>358</v>
      </c>
    </row>
  </sheetData>
  <mergeCells count="10">
    <mergeCell ref="D5:E5"/>
    <mergeCell ref="B5:C5"/>
    <mergeCell ref="D10:E10"/>
    <mergeCell ref="D11:E11"/>
    <mergeCell ref="D12:E12"/>
    <mergeCell ref="D13:E13"/>
    <mergeCell ref="B25:C25"/>
    <mergeCell ref="E25:F25"/>
    <mergeCell ref="C15:F15"/>
    <mergeCell ref="C10:C13"/>
  </mergeCells>
  <pageMargins left="0.7" right="0.7" top="0.75" bottom="0.75" header="0.3" footer="0.3"/>
  <pageSetup paperSize="9" orientation="portrait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S47"/>
  <sheetViews>
    <sheetView topLeftCell="A10" workbookViewId="0">
      <selection activeCell="O25" sqref="O25"/>
    </sheetView>
  </sheetViews>
  <sheetFormatPr defaultRowHeight="14.5" x14ac:dyDescent="0.35"/>
  <cols>
    <col min="1" max="1" width="50" customWidth="1"/>
    <col min="2" max="2" width="33" customWidth="1"/>
    <col min="3" max="3" width="29.54296875" customWidth="1"/>
  </cols>
  <sheetData>
    <row r="2" spans="1:19" ht="20" x14ac:dyDescent="0.4">
      <c r="A2" s="491" t="s">
        <v>359</v>
      </c>
      <c r="C2" s="506"/>
      <c r="D2" s="506"/>
      <c r="E2" s="507" t="s">
        <v>387</v>
      </c>
      <c r="F2" s="506"/>
      <c r="G2" s="506"/>
      <c r="H2" s="506"/>
      <c r="I2" s="506"/>
    </row>
    <row r="3" spans="1:19" ht="20" x14ac:dyDescent="0.4">
      <c r="A3" s="506"/>
      <c r="B3" s="506"/>
      <c r="C3" s="506" t="s">
        <v>388</v>
      </c>
      <c r="E3" s="507"/>
      <c r="F3" s="506"/>
      <c r="G3" s="506"/>
      <c r="H3" s="506"/>
      <c r="I3" s="506"/>
      <c r="L3" s="506"/>
      <c r="M3" s="506"/>
      <c r="O3" s="507"/>
      <c r="P3" s="506"/>
      <c r="Q3" s="506"/>
      <c r="R3" s="506"/>
      <c r="S3" s="506"/>
    </row>
    <row r="4" spans="1:19" ht="20" x14ac:dyDescent="0.4">
      <c r="A4" s="506"/>
      <c r="B4" s="506"/>
      <c r="C4" s="506" t="s">
        <v>386</v>
      </c>
      <c r="D4" s="506"/>
      <c r="E4" s="506"/>
      <c r="F4" s="506"/>
      <c r="G4" s="506"/>
      <c r="H4" s="506"/>
      <c r="I4" s="506"/>
      <c r="L4" s="506"/>
      <c r="M4" s="506"/>
      <c r="O4" s="507"/>
      <c r="P4" s="506"/>
      <c r="Q4" s="506"/>
      <c r="R4" s="506"/>
      <c r="S4" s="506"/>
    </row>
    <row r="5" spans="1:19" ht="20.5" thickBot="1" x14ac:dyDescent="0.45">
      <c r="A5" s="508"/>
      <c r="B5" s="506"/>
      <c r="C5" s="506"/>
      <c r="D5" s="506"/>
      <c r="E5" s="506"/>
      <c r="F5" s="506"/>
      <c r="G5" s="506"/>
      <c r="H5" s="506"/>
      <c r="I5" s="506"/>
      <c r="J5" s="506"/>
      <c r="K5" s="506"/>
      <c r="L5" s="506"/>
      <c r="M5" s="506"/>
      <c r="N5" s="506"/>
    </row>
    <row r="6" spans="1:19" ht="39" customHeight="1" thickBot="1" x14ac:dyDescent="0.45">
      <c r="A6" s="893" t="s">
        <v>360</v>
      </c>
      <c r="B6" s="893" t="s">
        <v>361</v>
      </c>
      <c r="C6" s="893" t="s">
        <v>362</v>
      </c>
      <c r="D6" s="509"/>
      <c r="E6" s="510"/>
      <c r="F6" s="510"/>
      <c r="G6" s="510"/>
      <c r="H6" s="510"/>
      <c r="I6" s="511">
        <v>2023</v>
      </c>
      <c r="J6" s="510"/>
      <c r="K6" s="510"/>
      <c r="L6" s="510"/>
      <c r="M6" s="510"/>
      <c r="N6" s="510"/>
      <c r="O6" s="512"/>
    </row>
    <row r="7" spans="1:19" ht="66.75" customHeight="1" thickBot="1" x14ac:dyDescent="0.4">
      <c r="A7" s="894"/>
      <c r="B7" s="894"/>
      <c r="C7" s="894"/>
      <c r="D7" s="513" t="s">
        <v>363</v>
      </c>
      <c r="E7" s="513" t="s">
        <v>364</v>
      </c>
      <c r="F7" s="513" t="s">
        <v>365</v>
      </c>
      <c r="G7" s="513" t="s">
        <v>366</v>
      </c>
      <c r="H7" s="513" t="s">
        <v>367</v>
      </c>
      <c r="I7" s="513" t="s">
        <v>368</v>
      </c>
      <c r="J7" s="513" t="s">
        <v>369</v>
      </c>
      <c r="K7" s="513" t="s">
        <v>370</v>
      </c>
      <c r="L7" s="513" t="s">
        <v>371</v>
      </c>
      <c r="M7" s="513" t="s">
        <v>372</v>
      </c>
      <c r="N7" s="513" t="s">
        <v>373</v>
      </c>
      <c r="O7" s="513" t="s">
        <v>374</v>
      </c>
    </row>
    <row r="8" spans="1:19" ht="18" x14ac:dyDescent="0.35">
      <c r="A8" s="494" t="s">
        <v>375</v>
      </c>
      <c r="B8" s="502"/>
      <c r="C8" s="502"/>
      <c r="D8" s="895"/>
      <c r="E8" s="890"/>
      <c r="F8" s="890"/>
      <c r="G8" s="887">
        <v>10</v>
      </c>
      <c r="H8" s="887"/>
      <c r="I8" s="887">
        <v>30</v>
      </c>
      <c r="J8" s="887"/>
      <c r="K8" s="887"/>
      <c r="L8" s="887"/>
      <c r="M8" s="887"/>
      <c r="N8" s="887"/>
      <c r="O8" s="887"/>
    </row>
    <row r="9" spans="1:19" ht="18.5" x14ac:dyDescent="0.35">
      <c r="A9" s="499" t="s">
        <v>383</v>
      </c>
      <c r="B9" s="503">
        <v>1200</v>
      </c>
      <c r="C9" s="503">
        <f>B9*1.2</f>
        <v>1440</v>
      </c>
      <c r="D9" s="896"/>
      <c r="E9" s="891"/>
      <c r="F9" s="891"/>
      <c r="G9" s="888"/>
      <c r="H9" s="888"/>
      <c r="I9" s="888"/>
      <c r="J9" s="888"/>
      <c r="K9" s="888"/>
      <c r="L9" s="888"/>
      <c r="M9" s="888"/>
      <c r="N9" s="888"/>
      <c r="O9" s="888"/>
    </row>
    <row r="10" spans="1:19" ht="18.5" thickBot="1" x14ac:dyDescent="0.4">
      <c r="A10" s="495"/>
      <c r="B10" s="504"/>
      <c r="C10" s="504"/>
      <c r="D10" s="897"/>
      <c r="E10" s="892"/>
      <c r="F10" s="892"/>
      <c r="G10" s="889"/>
      <c r="H10" s="889"/>
      <c r="I10" s="889"/>
      <c r="J10" s="889"/>
      <c r="K10" s="889"/>
      <c r="L10" s="889"/>
      <c r="M10" s="889"/>
      <c r="N10" s="889"/>
      <c r="O10" s="889"/>
    </row>
    <row r="11" spans="1:19" ht="18.5" x14ac:dyDescent="0.35">
      <c r="A11" s="494" t="s">
        <v>376</v>
      </c>
      <c r="B11" s="503"/>
      <c r="C11" s="503"/>
      <c r="D11" s="503"/>
      <c r="E11" s="503"/>
      <c r="F11" s="503"/>
      <c r="G11" s="515"/>
      <c r="H11" s="515"/>
      <c r="I11" s="515"/>
      <c r="J11" s="515"/>
      <c r="K11" s="515"/>
      <c r="L11" s="515"/>
      <c r="M11" s="515"/>
      <c r="N11" s="515"/>
      <c r="O11" s="515"/>
    </row>
    <row r="12" spans="1:19" ht="36" x14ac:dyDescent="0.35">
      <c r="A12" s="496" t="s">
        <v>384</v>
      </c>
      <c r="B12" s="503"/>
      <c r="C12" s="503"/>
      <c r="D12" s="503"/>
      <c r="E12" s="503"/>
      <c r="F12" s="503"/>
      <c r="G12" s="515"/>
      <c r="H12" s="515"/>
      <c r="I12" s="515"/>
      <c r="J12" s="515"/>
      <c r="K12" s="515"/>
      <c r="L12" s="515"/>
      <c r="M12" s="515"/>
      <c r="N12" s="515"/>
      <c r="O12" s="515"/>
    </row>
    <row r="13" spans="1:19" ht="18.5" x14ac:dyDescent="0.35">
      <c r="A13" s="497"/>
      <c r="B13" s="503">
        <v>3000</v>
      </c>
      <c r="C13" s="503">
        <f>B13*1.2</f>
        <v>3600</v>
      </c>
      <c r="D13" s="503"/>
      <c r="E13" s="503"/>
      <c r="F13" s="503"/>
      <c r="G13" s="515">
        <v>10</v>
      </c>
      <c r="H13" s="515"/>
      <c r="I13" s="515"/>
      <c r="J13" s="515">
        <v>31</v>
      </c>
      <c r="K13" s="515"/>
      <c r="L13" s="515"/>
      <c r="M13" s="515"/>
      <c r="N13" s="515"/>
      <c r="O13" s="515"/>
    </row>
    <row r="14" spans="1:19" ht="19" thickBot="1" x14ac:dyDescent="0.4">
      <c r="A14" s="498"/>
      <c r="B14" s="505"/>
      <c r="C14" s="505"/>
      <c r="D14" s="505"/>
      <c r="E14" s="505"/>
      <c r="F14" s="505"/>
      <c r="G14" s="516"/>
      <c r="H14" s="516"/>
      <c r="I14" s="516"/>
      <c r="J14" s="516"/>
      <c r="K14" s="516"/>
      <c r="L14" s="516"/>
      <c r="M14" s="516"/>
      <c r="N14" s="516"/>
      <c r="O14" s="516"/>
    </row>
    <row r="15" spans="1:19" ht="18" x14ac:dyDescent="0.35">
      <c r="A15" s="494" t="s">
        <v>377</v>
      </c>
      <c r="B15" s="502"/>
      <c r="C15" s="502"/>
      <c r="D15" s="502"/>
      <c r="E15" s="502"/>
      <c r="F15" s="502"/>
      <c r="G15" s="502"/>
      <c r="H15" s="502"/>
      <c r="I15" s="502"/>
      <c r="J15" s="502"/>
      <c r="K15" s="502"/>
      <c r="L15" s="502"/>
      <c r="M15" s="502"/>
      <c r="N15" s="502"/>
      <c r="O15" s="502"/>
    </row>
    <row r="16" spans="1:19" ht="36" x14ac:dyDescent="0.35">
      <c r="A16" s="496" t="s">
        <v>378</v>
      </c>
      <c r="B16" s="503">
        <v>1500</v>
      </c>
      <c r="C16" s="503">
        <f>B16*1.2</f>
        <v>1800</v>
      </c>
      <c r="D16" s="503"/>
      <c r="E16" s="503"/>
      <c r="F16" s="503"/>
      <c r="G16" s="503"/>
      <c r="H16" s="503"/>
      <c r="I16" s="503"/>
      <c r="J16" s="503"/>
      <c r="K16" s="515">
        <v>1</v>
      </c>
      <c r="L16" s="515">
        <v>30</v>
      </c>
      <c r="M16" s="515"/>
      <c r="N16" s="515"/>
      <c r="O16" s="515"/>
    </row>
    <row r="17" spans="1:17" ht="19" thickBot="1" x14ac:dyDescent="0.4">
      <c r="A17" s="498"/>
      <c r="B17" s="504"/>
      <c r="C17" s="504"/>
      <c r="D17" s="504"/>
      <c r="E17" s="504"/>
      <c r="F17" s="504"/>
      <c r="G17" s="504"/>
      <c r="H17" s="504"/>
      <c r="I17" s="504"/>
      <c r="J17" s="504"/>
      <c r="K17" s="518"/>
      <c r="L17" s="518"/>
      <c r="M17" s="518"/>
      <c r="N17" s="518"/>
      <c r="O17" s="518"/>
    </row>
    <row r="18" spans="1:17" ht="18" x14ac:dyDescent="0.35">
      <c r="A18" s="500" t="s">
        <v>379</v>
      </c>
      <c r="B18" s="502"/>
      <c r="C18" s="502"/>
      <c r="D18" s="502"/>
      <c r="E18" s="502"/>
      <c r="F18" s="502"/>
      <c r="G18" s="502"/>
      <c r="H18" s="502"/>
      <c r="I18" s="502"/>
      <c r="J18" s="502"/>
      <c r="K18" s="519"/>
      <c r="L18" s="520"/>
      <c r="M18" s="519"/>
      <c r="N18" s="519"/>
      <c r="O18" s="519"/>
    </row>
    <row r="19" spans="1:17" ht="18.5" x14ac:dyDescent="0.35">
      <c r="A19" s="496" t="s">
        <v>380</v>
      </c>
      <c r="B19" s="503">
        <v>1300</v>
      </c>
      <c r="C19" s="503">
        <f>B19*1.2</f>
        <v>1560</v>
      </c>
      <c r="D19" s="503"/>
      <c r="E19" s="503"/>
      <c r="F19" s="503"/>
      <c r="G19" s="503"/>
      <c r="H19" s="503"/>
      <c r="I19" s="503"/>
      <c r="J19" s="503"/>
      <c r="K19" s="515">
        <v>1</v>
      </c>
      <c r="L19" s="521"/>
      <c r="M19" s="515">
        <v>10</v>
      </c>
      <c r="N19" s="515"/>
      <c r="O19" s="515"/>
    </row>
    <row r="20" spans="1:17" ht="18.5" thickBot="1" x14ac:dyDescent="0.4">
      <c r="A20" s="495"/>
      <c r="B20" s="504"/>
      <c r="C20" s="504"/>
      <c r="D20" s="504"/>
      <c r="E20" s="504"/>
      <c r="F20" s="504"/>
      <c r="G20" s="504"/>
      <c r="H20" s="504"/>
      <c r="I20" s="504"/>
      <c r="J20" s="504"/>
      <c r="K20" s="518"/>
      <c r="L20" s="522"/>
      <c r="M20" s="518"/>
      <c r="N20" s="518"/>
      <c r="O20" s="518"/>
    </row>
    <row r="21" spans="1:17" ht="18" x14ac:dyDescent="0.35">
      <c r="A21" s="494" t="s">
        <v>381</v>
      </c>
      <c r="B21" s="502"/>
      <c r="C21" s="502"/>
      <c r="D21" s="502"/>
      <c r="E21" s="502"/>
      <c r="F21" s="502"/>
      <c r="G21" s="502"/>
      <c r="H21" s="502"/>
      <c r="I21" s="502"/>
      <c r="J21" s="502"/>
      <c r="K21" s="519"/>
      <c r="L21" s="519"/>
      <c r="M21" s="519"/>
      <c r="N21" s="519"/>
      <c r="O21" s="519"/>
    </row>
    <row r="22" spans="1:17" ht="36" x14ac:dyDescent="0.35">
      <c r="A22" s="496" t="s">
        <v>382</v>
      </c>
      <c r="B22" s="503">
        <v>2052.3629999999998</v>
      </c>
      <c r="C22" s="503">
        <f>B22*1.2</f>
        <v>2462.8355999999999</v>
      </c>
      <c r="D22" s="503"/>
      <c r="E22" s="503"/>
      <c r="F22" s="503"/>
      <c r="G22" s="503"/>
      <c r="H22" s="503"/>
      <c r="I22" s="503"/>
      <c r="J22" s="503"/>
      <c r="K22" s="515">
        <v>1</v>
      </c>
      <c r="L22" s="515"/>
      <c r="M22" s="515"/>
      <c r="N22" s="515">
        <v>15</v>
      </c>
      <c r="O22" s="515"/>
    </row>
    <row r="23" spans="1:17" ht="19" thickBot="1" x14ac:dyDescent="0.4">
      <c r="A23" s="498"/>
      <c r="B23" s="504"/>
      <c r="C23" s="504"/>
      <c r="D23" s="504"/>
      <c r="E23" s="504"/>
      <c r="F23" s="504"/>
      <c r="G23" s="504"/>
      <c r="H23" s="504"/>
      <c r="I23" s="504"/>
      <c r="J23" s="504"/>
      <c r="K23" s="518"/>
      <c r="L23" s="518"/>
      <c r="M23" s="518"/>
      <c r="N23" s="518"/>
      <c r="O23" s="518"/>
    </row>
    <row r="24" spans="1:17" ht="18.5" thickBot="1" x14ac:dyDescent="0.45">
      <c r="A24" s="495" t="s">
        <v>174</v>
      </c>
      <c r="B24" s="505">
        <f>B9+B13+B16+B19+B22</f>
        <v>9052.3629999999994</v>
      </c>
      <c r="C24" s="505">
        <f>C9+C13+C16+C19+C22</f>
        <v>10862.8356</v>
      </c>
      <c r="D24" s="514"/>
      <c r="E24" s="514"/>
      <c r="F24" s="514"/>
      <c r="G24" s="517"/>
      <c r="H24" s="517"/>
      <c r="I24" s="517"/>
      <c r="J24" s="517"/>
      <c r="K24" s="517"/>
      <c r="L24" s="517"/>
      <c r="M24" s="517"/>
      <c r="N24" s="517"/>
      <c r="O24" s="517"/>
    </row>
    <row r="25" spans="1:17" x14ac:dyDescent="0.35">
      <c r="A25" s="492"/>
    </row>
    <row r="26" spans="1:17" ht="15.5" x14ac:dyDescent="0.35">
      <c r="A26" s="472"/>
      <c r="Q26" s="501"/>
    </row>
    <row r="27" spans="1:17" ht="15.5" x14ac:dyDescent="0.35">
      <c r="A27" s="472"/>
    </row>
    <row r="28" spans="1:17" ht="15.5" x14ac:dyDescent="0.35">
      <c r="A28" s="472"/>
      <c r="B28" s="535" t="s">
        <v>183</v>
      </c>
      <c r="C28" s="535"/>
      <c r="D28" s="535"/>
      <c r="E28" s="535"/>
    </row>
    <row r="29" spans="1:17" ht="15.5" x14ac:dyDescent="0.35">
      <c r="A29" s="472"/>
      <c r="C29" s="501"/>
      <c r="K29" s="501"/>
    </row>
    <row r="30" spans="1:17" ht="15.5" x14ac:dyDescent="0.35">
      <c r="A30" s="472"/>
    </row>
    <row r="31" spans="1:17" ht="15.5" x14ac:dyDescent="0.35">
      <c r="A31" s="472"/>
    </row>
    <row r="32" spans="1:17" ht="15.5" x14ac:dyDescent="0.35">
      <c r="A32" s="472"/>
    </row>
    <row r="33" spans="1:1" ht="15.5" x14ac:dyDescent="0.35">
      <c r="A33" s="472"/>
    </row>
    <row r="34" spans="1:1" ht="15.5" x14ac:dyDescent="0.35">
      <c r="A34" s="472"/>
    </row>
    <row r="35" spans="1:1" ht="15.5" x14ac:dyDescent="0.35">
      <c r="A35" s="472"/>
    </row>
    <row r="36" spans="1:1" ht="15.5" x14ac:dyDescent="0.35">
      <c r="A36" s="472"/>
    </row>
    <row r="37" spans="1:1" ht="15.5" x14ac:dyDescent="0.35">
      <c r="A37" s="472"/>
    </row>
    <row r="38" spans="1:1" ht="15.5" x14ac:dyDescent="0.35">
      <c r="A38" s="472"/>
    </row>
    <row r="39" spans="1:1" ht="15.5" x14ac:dyDescent="0.35">
      <c r="A39" s="472"/>
    </row>
    <row r="40" spans="1:1" ht="15.5" x14ac:dyDescent="0.35">
      <c r="A40" s="472"/>
    </row>
    <row r="41" spans="1:1" ht="15.5" x14ac:dyDescent="0.35">
      <c r="A41" s="472"/>
    </row>
    <row r="42" spans="1:1" ht="15.5" x14ac:dyDescent="0.35">
      <c r="A42" s="472"/>
    </row>
    <row r="43" spans="1:1" ht="15.5" x14ac:dyDescent="0.35">
      <c r="A43" s="472"/>
    </row>
    <row r="44" spans="1:1" ht="15.5" x14ac:dyDescent="0.35">
      <c r="A44" s="472"/>
    </row>
    <row r="45" spans="1:1" ht="15.5" x14ac:dyDescent="0.35">
      <c r="A45" s="472"/>
    </row>
    <row r="46" spans="1:1" ht="15.5" x14ac:dyDescent="0.35">
      <c r="A46" s="472"/>
    </row>
    <row r="47" spans="1:1" x14ac:dyDescent="0.35">
      <c r="A47" s="493"/>
    </row>
  </sheetData>
  <mergeCells count="16">
    <mergeCell ref="A6:A7"/>
    <mergeCell ref="B6:B7"/>
    <mergeCell ref="C6:C7"/>
    <mergeCell ref="D8:D10"/>
    <mergeCell ref="E8:E10"/>
    <mergeCell ref="B28:E28"/>
    <mergeCell ref="N8:N10"/>
    <mergeCell ref="O8:O10"/>
    <mergeCell ref="H8:H10"/>
    <mergeCell ref="I8:I10"/>
    <mergeCell ref="J8:J10"/>
    <mergeCell ref="K8:K10"/>
    <mergeCell ref="L8:L10"/>
    <mergeCell ref="M8:M10"/>
    <mergeCell ref="F8:F10"/>
    <mergeCell ref="G8:G10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R30"/>
  <sheetViews>
    <sheetView tabSelected="1" zoomScale="136" zoomScaleNormal="136" workbookViewId="0">
      <selection activeCell="N21" sqref="N21"/>
    </sheetView>
  </sheetViews>
  <sheetFormatPr defaultRowHeight="14.5" x14ac:dyDescent="0.35"/>
  <cols>
    <col min="1" max="1" width="4.26953125" customWidth="1"/>
    <col min="2" max="2" width="12.54296875" customWidth="1"/>
    <col min="3" max="3" width="0" hidden="1" customWidth="1"/>
    <col min="4" max="4" width="11" customWidth="1"/>
    <col min="5" max="5" width="16.453125" customWidth="1"/>
    <col min="6" max="6" width="13.453125" customWidth="1"/>
    <col min="7" max="7" width="10.36328125" bestFit="1" customWidth="1"/>
    <col min="8" max="9" width="10.54296875" bestFit="1" customWidth="1"/>
    <col min="10" max="10" width="13.1796875" bestFit="1" customWidth="1"/>
    <col min="11" max="11" width="10.08984375" bestFit="1" customWidth="1"/>
    <col min="12" max="12" width="13.26953125" bestFit="1" customWidth="1"/>
    <col min="13" max="13" width="11.36328125" customWidth="1"/>
    <col min="15" max="15" width="23.1796875" hidden="1" customWidth="1"/>
    <col min="16" max="16" width="10.81640625" hidden="1" customWidth="1"/>
    <col min="17" max="21" width="0" hidden="1" customWidth="1"/>
  </cols>
  <sheetData>
    <row r="1" spans="1:18" x14ac:dyDescent="0.35">
      <c r="A1" s="525" t="s">
        <v>157</v>
      </c>
      <c r="B1" s="525"/>
      <c r="C1" s="525"/>
      <c r="D1" s="525"/>
      <c r="E1" s="525"/>
      <c r="F1" s="525"/>
      <c r="G1" s="525"/>
      <c r="H1" s="525"/>
      <c r="I1" s="525"/>
      <c r="J1" s="525"/>
      <c r="K1" s="525"/>
      <c r="L1" s="525"/>
      <c r="M1" s="525"/>
    </row>
    <row r="2" spans="1:18" ht="45.75" customHeight="1" x14ac:dyDescent="0.35">
      <c r="A2" s="241"/>
      <c r="B2" s="242" t="s">
        <v>80</v>
      </c>
      <c r="C2" s="243"/>
      <c r="D2" s="244"/>
      <c r="E2" s="526" t="s">
        <v>385</v>
      </c>
      <c r="F2" s="526"/>
      <c r="G2" s="526"/>
      <c r="H2" s="526"/>
      <c r="I2" s="526"/>
      <c r="J2" s="526"/>
      <c r="K2" s="526"/>
      <c r="L2" s="526"/>
      <c r="M2" s="526"/>
    </row>
    <row r="3" spans="1:18" x14ac:dyDescent="0.35">
      <c r="A3" s="241"/>
      <c r="B3" s="527" t="s">
        <v>158</v>
      </c>
      <c r="C3" s="527"/>
      <c r="D3" s="527"/>
      <c r="E3" s="528" t="s">
        <v>227</v>
      </c>
      <c r="F3" s="528"/>
      <c r="G3" s="528"/>
      <c r="H3" s="528"/>
      <c r="I3" s="528"/>
      <c r="J3" s="528"/>
      <c r="K3" s="528"/>
      <c r="L3" s="528"/>
      <c r="M3" s="528"/>
    </row>
    <row r="4" spans="1:18" x14ac:dyDescent="0.35">
      <c r="A4" s="241"/>
      <c r="B4" s="527" t="s">
        <v>159</v>
      </c>
      <c r="C4" s="527"/>
      <c r="D4" s="527"/>
      <c r="E4" s="534" t="s">
        <v>156</v>
      </c>
      <c r="F4" s="534"/>
      <c r="G4" s="534"/>
      <c r="H4" s="534"/>
      <c r="I4" s="534"/>
      <c r="J4" s="534"/>
      <c r="K4" s="534"/>
      <c r="L4" s="534"/>
      <c r="M4" s="534"/>
      <c r="O4" s="532" t="s">
        <v>248</v>
      </c>
      <c r="P4" s="532"/>
      <c r="Q4" s="532"/>
      <c r="R4" s="532"/>
    </row>
    <row r="5" spans="1:18" ht="20.25" customHeight="1" x14ac:dyDescent="0.35">
      <c r="A5" s="241"/>
      <c r="B5" s="527"/>
      <c r="C5" s="527"/>
      <c r="D5" s="527"/>
      <c r="E5" s="534"/>
      <c r="F5" s="534"/>
      <c r="G5" s="534"/>
      <c r="H5" s="534"/>
      <c r="I5" s="534"/>
      <c r="J5" s="534"/>
      <c r="K5" s="534"/>
      <c r="L5" s="534"/>
      <c r="M5" s="534"/>
      <c r="O5" s="293" t="s">
        <v>82</v>
      </c>
      <c r="P5" s="533" t="s">
        <v>232</v>
      </c>
      <c r="Q5" s="533"/>
      <c r="R5" s="301"/>
    </row>
    <row r="6" spans="1:18" x14ac:dyDescent="0.35">
      <c r="A6" s="241"/>
      <c r="B6" s="527" t="s">
        <v>4</v>
      </c>
      <c r="C6" s="527"/>
      <c r="D6" s="527"/>
      <c r="E6" s="539" t="s">
        <v>263</v>
      </c>
      <c r="F6" s="539"/>
      <c r="G6" s="539"/>
      <c r="H6" s="539"/>
      <c r="I6" s="539"/>
      <c r="J6" s="539"/>
      <c r="K6" s="539"/>
      <c r="L6" s="539"/>
      <c r="M6" s="539"/>
      <c r="O6" t="s">
        <v>238</v>
      </c>
    </row>
    <row r="7" spans="1:18" ht="15" customHeight="1" x14ac:dyDescent="0.35">
      <c r="A7" s="245"/>
      <c r="B7" s="246"/>
      <c r="C7" s="246"/>
      <c r="D7" s="246"/>
      <c r="E7" s="540" t="s">
        <v>333</v>
      </c>
      <c r="F7" s="541"/>
      <c r="G7" s="258"/>
      <c r="H7" s="246"/>
      <c r="I7" s="246"/>
      <c r="J7" s="246"/>
      <c r="K7" s="246"/>
      <c r="L7" s="246"/>
      <c r="M7" s="245"/>
      <c r="O7" t="s">
        <v>237</v>
      </c>
    </row>
    <row r="8" spans="1:18" ht="38.25" customHeight="1" x14ac:dyDescent="0.35">
      <c r="A8" s="247" t="s">
        <v>160</v>
      </c>
      <c r="B8" s="542" t="s">
        <v>161</v>
      </c>
      <c r="C8" s="542"/>
      <c r="D8" s="542" t="s">
        <v>162</v>
      </c>
      <c r="E8" s="542"/>
      <c r="F8" s="542"/>
      <c r="G8" s="276" t="s">
        <v>163</v>
      </c>
      <c r="H8" s="248" t="s">
        <v>164</v>
      </c>
      <c r="I8" s="248" t="s">
        <v>165</v>
      </c>
      <c r="J8" s="248" t="s">
        <v>166</v>
      </c>
      <c r="K8" s="460" t="s">
        <v>328</v>
      </c>
      <c r="L8" s="248" t="s">
        <v>167</v>
      </c>
      <c r="M8" s="460" t="s">
        <v>352</v>
      </c>
    </row>
    <row r="9" spans="1:18" x14ac:dyDescent="0.35">
      <c r="A9" s="919">
        <v>1</v>
      </c>
      <c r="B9" s="920">
        <f>A9+1</f>
        <v>2</v>
      </c>
      <c r="C9" s="920"/>
      <c r="D9" s="920">
        <v>3</v>
      </c>
      <c r="E9" s="920"/>
      <c r="F9" s="920"/>
      <c r="G9" s="919">
        <v>4</v>
      </c>
      <c r="H9" s="919">
        <v>5</v>
      </c>
      <c r="I9" s="919">
        <v>6</v>
      </c>
      <c r="J9" s="919">
        <v>7</v>
      </c>
      <c r="K9" s="919"/>
      <c r="L9" s="919">
        <v>8</v>
      </c>
      <c r="M9" s="919">
        <v>9</v>
      </c>
    </row>
    <row r="10" spans="1:18" x14ac:dyDescent="0.35">
      <c r="A10" s="249">
        <v>1</v>
      </c>
      <c r="B10" s="543" t="s">
        <v>177</v>
      </c>
      <c r="C10" s="544"/>
      <c r="D10" s="544"/>
      <c r="E10" s="544"/>
      <c r="F10" s="545"/>
      <c r="G10" s="900"/>
      <c r="H10" s="899"/>
      <c r="I10" s="899"/>
      <c r="J10" s="899"/>
      <c r="K10" s="899"/>
      <c r="L10" s="899"/>
      <c r="M10" s="899"/>
    </row>
    <row r="11" spans="1:18" x14ac:dyDescent="0.35">
      <c r="A11" s="461"/>
      <c r="B11" s="462" t="s">
        <v>329</v>
      </c>
      <c r="C11" s="251"/>
      <c r="D11" s="546" t="s">
        <v>338</v>
      </c>
      <c r="E11" s="546"/>
      <c r="F11" s="546"/>
      <c r="G11" s="900"/>
      <c r="H11" s="899">
        <f>'  ПД ПС'!E23/5.22</f>
        <v>1744.8322942705649</v>
      </c>
      <c r="I11" s="899"/>
      <c r="J11" s="899"/>
      <c r="K11" s="899"/>
      <c r="L11" s="899"/>
      <c r="M11" s="901">
        <f t="shared" ref="M11:M18" si="0">SUM(M4:M10)</f>
        <v>9</v>
      </c>
    </row>
    <row r="12" spans="1:18" ht="24" customHeight="1" x14ac:dyDescent="0.35">
      <c r="A12" s="250">
        <v>1</v>
      </c>
      <c r="B12" s="462" t="s">
        <v>337</v>
      </c>
      <c r="C12" s="251"/>
      <c r="D12" s="546" t="s">
        <v>339</v>
      </c>
      <c r="E12" s="546"/>
      <c r="F12" s="546"/>
      <c r="G12" s="902"/>
      <c r="H12" s="903"/>
      <c r="I12" s="903">
        <f>'РД ПС'!E20/5.22</f>
        <v>1953.1704786610801</v>
      </c>
      <c r="J12" s="903"/>
      <c r="K12" s="903"/>
      <c r="L12" s="903"/>
      <c r="M12" s="901">
        <f t="shared" si="0"/>
        <v>18</v>
      </c>
    </row>
    <row r="13" spans="1:18" ht="25.5" customHeight="1" x14ac:dyDescent="0.35">
      <c r="A13" s="250">
        <v>2</v>
      </c>
      <c r="B13" s="462" t="s">
        <v>330</v>
      </c>
      <c r="C13" s="251"/>
      <c r="D13" s="529" t="s">
        <v>168</v>
      </c>
      <c r="E13" s="530"/>
      <c r="F13" s="531"/>
      <c r="G13" s="904">
        <f>геодез.ПС!L28/1000</f>
        <v>28.470009599999997</v>
      </c>
      <c r="H13" s="905"/>
      <c r="I13" s="905"/>
      <c r="J13" s="905"/>
      <c r="K13" s="905"/>
      <c r="L13" s="905"/>
      <c r="M13" s="901">
        <f t="shared" si="0"/>
        <v>36</v>
      </c>
      <c r="O13" s="257"/>
    </row>
    <row r="14" spans="1:18" ht="27" customHeight="1" x14ac:dyDescent="0.35">
      <c r="A14" s="250">
        <v>3</v>
      </c>
      <c r="B14" s="462" t="s">
        <v>331</v>
      </c>
      <c r="C14" s="253"/>
      <c r="D14" s="536" t="s">
        <v>169</v>
      </c>
      <c r="E14" s="537"/>
      <c r="F14" s="538"/>
      <c r="G14" s="904">
        <f>геолПС!V111/1000</f>
        <v>139.36226307848199</v>
      </c>
      <c r="H14" s="906"/>
      <c r="I14" s="906"/>
      <c r="J14" s="906"/>
      <c r="K14" s="906"/>
      <c r="L14" s="906"/>
      <c r="M14" s="901">
        <f t="shared" si="0"/>
        <v>72</v>
      </c>
      <c r="O14" s="257"/>
    </row>
    <row r="15" spans="1:18" ht="27" customHeight="1" x14ac:dyDescent="0.35">
      <c r="A15" s="250">
        <v>4</v>
      </c>
      <c r="B15" s="462" t="s">
        <v>332</v>
      </c>
      <c r="C15" s="253"/>
      <c r="D15" s="536" t="s">
        <v>324</v>
      </c>
      <c r="E15" s="537"/>
      <c r="F15" s="538"/>
      <c r="G15" s="904">
        <f>Экология!U107/1000</f>
        <v>116.35976756843112</v>
      </c>
      <c r="H15" s="906"/>
      <c r="I15" s="906"/>
      <c r="J15" s="906"/>
      <c r="K15" s="906"/>
      <c r="L15" s="906"/>
      <c r="M15" s="901">
        <f t="shared" si="0"/>
        <v>144</v>
      </c>
      <c r="O15" s="257"/>
    </row>
    <row r="16" spans="1:18" ht="27" customHeight="1" x14ac:dyDescent="0.35">
      <c r="A16" s="250"/>
      <c r="B16" s="462" t="s">
        <v>340</v>
      </c>
      <c r="C16" s="253"/>
      <c r="D16" s="536" t="s">
        <v>351</v>
      </c>
      <c r="E16" s="537"/>
      <c r="F16" s="538"/>
      <c r="G16" s="904"/>
      <c r="H16" s="906"/>
      <c r="I16" s="906"/>
      <c r="J16" s="906"/>
      <c r="K16" s="906">
        <f>'проект планир '!G26/1000</f>
        <v>80.471299999999999</v>
      </c>
      <c r="L16" s="906"/>
      <c r="M16" s="901">
        <f t="shared" si="0"/>
        <v>288</v>
      </c>
      <c r="O16" s="257"/>
    </row>
    <row r="17" spans="1:15" ht="27" customHeight="1" x14ac:dyDescent="0.35">
      <c r="A17" s="250"/>
      <c r="B17" s="462" t="s">
        <v>341</v>
      </c>
      <c r="C17" s="253"/>
      <c r="D17" s="536" t="s">
        <v>170</v>
      </c>
      <c r="E17" s="537"/>
      <c r="F17" s="538"/>
      <c r="G17" s="904"/>
      <c r="H17" s="906"/>
      <c r="I17" s="906"/>
      <c r="J17" s="906">
        <f>'Землеустр ПС'!AB38/1000</f>
        <v>6.1636585135000006</v>
      </c>
      <c r="K17" s="906"/>
      <c r="L17" s="906"/>
      <c r="M17" s="901">
        <f t="shared" si="0"/>
        <v>567</v>
      </c>
      <c r="O17" s="257"/>
    </row>
    <row r="18" spans="1:15" ht="24.75" customHeight="1" x14ac:dyDescent="0.35">
      <c r="A18" s="250">
        <v>5</v>
      </c>
      <c r="B18" s="462" t="s">
        <v>349</v>
      </c>
      <c r="C18" s="253"/>
      <c r="D18" s="536" t="s">
        <v>350</v>
      </c>
      <c r="E18" s="537"/>
      <c r="F18" s="538"/>
      <c r="G18" s="904"/>
      <c r="H18" s="907"/>
      <c r="I18" s="906"/>
      <c r="J18" s="906"/>
      <c r="K18" s="906"/>
      <c r="L18" s="906">
        <f>ЭКСПЕРТИЗА!F23</f>
        <v>203.10329213097393</v>
      </c>
      <c r="M18" s="901">
        <f t="shared" si="0"/>
        <v>1134</v>
      </c>
      <c r="O18" s="257"/>
    </row>
    <row r="19" spans="1:15" ht="36.75" customHeight="1" x14ac:dyDescent="0.35">
      <c r="A19" s="250">
        <v>6</v>
      </c>
      <c r="B19" s="252"/>
      <c r="C19" s="253"/>
      <c r="D19" s="548" t="s">
        <v>171</v>
      </c>
      <c r="E19" s="548"/>
      <c r="F19" s="548"/>
      <c r="G19" s="908">
        <f>SUM(G12:G18)</f>
        <v>284.19204024691311</v>
      </c>
      <c r="H19" s="908">
        <f>SUM(H11:H18)</f>
        <v>1744.8322942705649</v>
      </c>
      <c r="I19" s="908">
        <f>SUM(I12:I18)</f>
        <v>1953.1704786610801</v>
      </c>
      <c r="J19" s="908">
        <f t="shared" ref="J19:K19" si="1">SUM(J12:J18)</f>
        <v>6.1636585135000006</v>
      </c>
      <c r="K19" s="908">
        <f t="shared" si="1"/>
        <v>80.471299999999999</v>
      </c>
      <c r="L19" s="908">
        <f>SUM(L12:L18)</f>
        <v>203.10329213097393</v>
      </c>
      <c r="M19" s="908">
        <f>SUM(M12:M18)</f>
        <v>2259</v>
      </c>
      <c r="O19" s="257"/>
    </row>
    <row r="20" spans="1:15" ht="54" customHeight="1" x14ac:dyDescent="0.35">
      <c r="A20" s="250">
        <v>7</v>
      </c>
      <c r="B20" s="252"/>
      <c r="C20" s="253"/>
      <c r="D20" s="536" t="s">
        <v>172</v>
      </c>
      <c r="E20" s="551"/>
      <c r="F20" s="552"/>
      <c r="G20" s="913">
        <v>5.27</v>
      </c>
      <c r="H20" s="914">
        <v>5.22</v>
      </c>
      <c r="I20" s="915">
        <v>5.22</v>
      </c>
      <c r="J20" s="916"/>
      <c r="K20" s="917"/>
      <c r="L20" s="915"/>
      <c r="M20" s="915"/>
    </row>
    <row r="21" spans="1:15" ht="42" customHeight="1" x14ac:dyDescent="0.35">
      <c r="A21" s="250">
        <v>8</v>
      </c>
      <c r="B21" s="252"/>
      <c r="C21" s="253"/>
      <c r="D21" s="536" t="s">
        <v>178</v>
      </c>
      <c r="E21" s="551"/>
      <c r="F21" s="552"/>
      <c r="G21" s="913"/>
      <c r="H21" s="914"/>
      <c r="I21" s="915"/>
      <c r="J21" s="915"/>
      <c r="K21" s="915"/>
      <c r="L21" s="915">
        <v>6.18</v>
      </c>
      <c r="M21" s="915"/>
    </row>
    <row r="22" spans="1:15" ht="69" customHeight="1" x14ac:dyDescent="0.35">
      <c r="A22" s="250">
        <v>9</v>
      </c>
      <c r="B22" s="252"/>
      <c r="C22" s="253"/>
      <c r="D22" s="536" t="s">
        <v>173</v>
      </c>
      <c r="E22" s="551"/>
      <c r="F22" s="552"/>
      <c r="G22" s="913"/>
      <c r="H22" s="914"/>
      <c r="I22" s="915"/>
      <c r="J22" s="918">
        <v>16.294043030000001</v>
      </c>
      <c r="K22" s="915">
        <v>5.07</v>
      </c>
      <c r="L22" s="915"/>
      <c r="M22" s="915"/>
    </row>
    <row r="23" spans="1:15" ht="32.25" customHeight="1" x14ac:dyDescent="0.35">
      <c r="A23" s="250">
        <v>10</v>
      </c>
      <c r="B23" s="252"/>
      <c r="C23" s="253"/>
      <c r="D23" s="549" t="s">
        <v>174</v>
      </c>
      <c r="E23" s="549"/>
      <c r="F23" s="549"/>
      <c r="G23" s="909">
        <f>G19*G20</f>
        <v>1497.6920521012319</v>
      </c>
      <c r="H23" s="909">
        <f>H19*H20</f>
        <v>9108.0245760923481</v>
      </c>
      <c r="I23" s="909">
        <f>I19*I20</f>
        <v>10195.549898610838</v>
      </c>
      <c r="J23" s="909">
        <f>J19*J22</f>
        <v>100.43091704119485</v>
      </c>
      <c r="K23" s="909">
        <f>K19*K22</f>
        <v>407.98949100000004</v>
      </c>
      <c r="L23" s="909">
        <f>L19*L21</f>
        <v>1255.1783453694188</v>
      </c>
      <c r="M23" s="910">
        <f>SUM(G23:L23)</f>
        <v>22564.865280215032</v>
      </c>
    </row>
    <row r="24" spans="1:15" x14ac:dyDescent="0.35">
      <c r="A24" s="250">
        <v>11</v>
      </c>
      <c r="B24" s="252"/>
      <c r="C24" s="253"/>
      <c r="D24" s="549" t="s">
        <v>175</v>
      </c>
      <c r="E24" s="549"/>
      <c r="F24" s="549"/>
      <c r="G24" s="909">
        <f t="shared" ref="G24:L24" si="2">G23*20%</f>
        <v>299.53841042024641</v>
      </c>
      <c r="H24" s="909">
        <f t="shared" si="2"/>
        <v>1821.6049152184696</v>
      </c>
      <c r="I24" s="909">
        <f t="shared" si="2"/>
        <v>2039.1099797221677</v>
      </c>
      <c r="J24" s="909">
        <f t="shared" si="2"/>
        <v>20.08618340823897</v>
      </c>
      <c r="K24" s="909">
        <f>K23*0.2</f>
        <v>81.597898200000017</v>
      </c>
      <c r="L24" s="909">
        <f t="shared" si="2"/>
        <v>251.03566907388378</v>
      </c>
      <c r="M24" s="910">
        <f>H24+I24+J24+L24</f>
        <v>4131.8367474227598</v>
      </c>
    </row>
    <row r="25" spans="1:15" x14ac:dyDescent="0.35">
      <c r="A25" s="250">
        <v>12</v>
      </c>
      <c r="B25" s="523"/>
      <c r="C25" s="524"/>
      <c r="D25" s="550" t="s">
        <v>353</v>
      </c>
      <c r="E25" s="550"/>
      <c r="F25" s="550"/>
      <c r="G25" s="901">
        <f t="shared" ref="G25:L25" si="3">G23+G24</f>
        <v>1797.2304625214783</v>
      </c>
      <c r="H25" s="901">
        <f t="shared" si="3"/>
        <v>10929.629491310818</v>
      </c>
      <c r="I25" s="901">
        <f t="shared" si="3"/>
        <v>12234.659878333005</v>
      </c>
      <c r="J25" s="901">
        <f>J23+J24</f>
        <v>120.51710044943381</v>
      </c>
      <c r="K25" s="901">
        <f>K23+K24</f>
        <v>489.58738920000008</v>
      </c>
      <c r="L25" s="901">
        <f t="shared" si="3"/>
        <v>1506.2140144433026</v>
      </c>
      <c r="M25" s="911">
        <f>M23+M24</f>
        <v>26696.702027637792</v>
      </c>
    </row>
    <row r="26" spans="1:15" x14ac:dyDescent="0.35">
      <c r="A26" s="250">
        <v>13</v>
      </c>
      <c r="B26" s="254"/>
      <c r="C26" s="255"/>
      <c r="D26" s="547" t="s">
        <v>389</v>
      </c>
      <c r="E26" s="547"/>
      <c r="F26" s="547"/>
      <c r="G26" s="921">
        <f>G27/G25</f>
        <v>0.95146395282044371</v>
      </c>
      <c r="H26" s="921">
        <f>H27/H25</f>
        <v>0.18253134761668255</v>
      </c>
      <c r="I26" s="921">
        <f>I27/I25</f>
        <v>0.17981701345830581</v>
      </c>
      <c r="J26" s="921">
        <f>1</f>
        <v>1</v>
      </c>
      <c r="K26" s="921">
        <v>1</v>
      </c>
      <c r="L26" s="921">
        <f>L27/L25</f>
        <v>0.99587441466902071</v>
      </c>
      <c r="M26" s="922"/>
    </row>
    <row r="27" spans="1:15" x14ac:dyDescent="0.35">
      <c r="A27" s="250">
        <v>14</v>
      </c>
      <c r="B27" s="254"/>
      <c r="C27" s="255"/>
      <c r="D27" s="548" t="s">
        <v>354</v>
      </c>
      <c r="E27" s="548"/>
      <c r="F27" s="548"/>
      <c r="G27" s="908">
        <v>1710</v>
      </c>
      <c r="H27" s="908">
        <v>1995</v>
      </c>
      <c r="I27" s="908">
        <v>2200</v>
      </c>
      <c r="J27" s="908">
        <f t="shared" ref="J27:K27" si="4">J25*J26</f>
        <v>120.51710044943381</v>
      </c>
      <c r="K27" s="908">
        <f t="shared" si="4"/>
        <v>489.58738920000008</v>
      </c>
      <c r="L27" s="908">
        <v>1500</v>
      </c>
      <c r="M27" s="912">
        <f>SUM(G27:L27)</f>
        <v>8015.1044896494341</v>
      </c>
    </row>
    <row r="28" spans="1:15" x14ac:dyDescent="0.35">
      <c r="G28" s="898"/>
      <c r="H28" s="898"/>
      <c r="I28" s="898"/>
      <c r="J28" s="898"/>
      <c r="K28" s="898"/>
      <c r="L28" s="898"/>
      <c r="M28" s="898"/>
    </row>
    <row r="30" spans="1:15" x14ac:dyDescent="0.35">
      <c r="E30" s="535" t="s">
        <v>183</v>
      </c>
      <c r="F30" s="535"/>
      <c r="G30" s="535"/>
      <c r="H30" s="535"/>
    </row>
  </sheetData>
  <mergeCells count="34">
    <mergeCell ref="D26:F26"/>
    <mergeCell ref="D27:F27"/>
    <mergeCell ref="D12:F12"/>
    <mergeCell ref="D16:F16"/>
    <mergeCell ref="D18:F18"/>
    <mergeCell ref="D23:F23"/>
    <mergeCell ref="D24:F24"/>
    <mergeCell ref="D25:F25"/>
    <mergeCell ref="D19:F19"/>
    <mergeCell ref="D20:F20"/>
    <mergeCell ref="D21:F21"/>
    <mergeCell ref="D22:F22"/>
    <mergeCell ref="D15:F15"/>
    <mergeCell ref="O4:R4"/>
    <mergeCell ref="P5:Q5"/>
    <mergeCell ref="B4:D5"/>
    <mergeCell ref="E4:M5"/>
    <mergeCell ref="E30:H30"/>
    <mergeCell ref="D17:F17"/>
    <mergeCell ref="B6:D6"/>
    <mergeCell ref="E6:M6"/>
    <mergeCell ref="E7:F7"/>
    <mergeCell ref="B8:C8"/>
    <mergeCell ref="D8:F8"/>
    <mergeCell ref="B9:C9"/>
    <mergeCell ref="D9:F9"/>
    <mergeCell ref="B10:F10"/>
    <mergeCell ref="D11:F11"/>
    <mergeCell ref="D14:F14"/>
    <mergeCell ref="A1:M1"/>
    <mergeCell ref="E2:M2"/>
    <mergeCell ref="B3:D3"/>
    <mergeCell ref="E3:M3"/>
    <mergeCell ref="D13:F13"/>
  </mergeCells>
  <pageMargins left="0" right="0" top="0.74803149606299213" bottom="0.74803149606299213" header="0.31496062992125984" footer="0.31496062992125984"/>
  <pageSetup paperSize="9" scale="7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26"/>
  <sheetViews>
    <sheetView topLeftCell="A20" workbookViewId="0">
      <selection activeCell="D32" sqref="D32"/>
    </sheetView>
  </sheetViews>
  <sheetFormatPr defaultRowHeight="14.5" x14ac:dyDescent="0.35"/>
  <cols>
    <col min="1" max="1" width="6.453125" customWidth="1"/>
    <col min="2" max="2" width="40.26953125" customWidth="1"/>
    <col min="3" max="3" width="28.453125" customWidth="1"/>
    <col min="4" max="4" width="34.54296875" customWidth="1"/>
    <col min="5" max="5" width="30.1796875" customWidth="1"/>
  </cols>
  <sheetData>
    <row r="1" spans="1:19" x14ac:dyDescent="0.35">
      <c r="B1" s="294"/>
      <c r="C1" s="459" t="s">
        <v>334</v>
      </c>
      <c r="D1" s="294"/>
      <c r="F1" s="294"/>
    </row>
    <row r="2" spans="1:19" ht="28.5" customHeight="1" x14ac:dyDescent="0.35">
      <c r="B2" s="532" t="s">
        <v>248</v>
      </c>
      <c r="C2" s="532"/>
      <c r="D2" s="532"/>
      <c r="E2" s="532"/>
      <c r="F2" s="294"/>
    </row>
    <row r="3" spans="1:19" ht="31" x14ac:dyDescent="0.35">
      <c r="B3" s="293" t="s">
        <v>82</v>
      </c>
      <c r="C3" s="533" t="s">
        <v>232</v>
      </c>
      <c r="D3" s="533"/>
      <c r="E3" s="301"/>
    </row>
    <row r="4" spans="1:19" x14ac:dyDescent="0.35">
      <c r="B4" t="s">
        <v>238</v>
      </c>
    </row>
    <row r="5" spans="1:19" ht="15" thickBot="1" x14ac:dyDescent="0.4">
      <c r="B5" t="s">
        <v>237</v>
      </c>
    </row>
    <row r="6" spans="1:19" ht="117" customHeight="1" thickBot="1" x14ac:dyDescent="0.4">
      <c r="A6" s="259" t="s">
        <v>189</v>
      </c>
      <c r="B6" s="260" t="s">
        <v>82</v>
      </c>
      <c r="C6" s="260" t="s">
        <v>190</v>
      </c>
      <c r="D6" s="259" t="s">
        <v>191</v>
      </c>
      <c r="E6" s="260" t="s">
        <v>192</v>
      </c>
      <c r="P6" s="277" t="s">
        <v>207</v>
      </c>
      <c r="R6" s="277" t="s">
        <v>205</v>
      </c>
    </row>
    <row r="7" spans="1:19" ht="26.25" customHeight="1" thickBot="1" x14ac:dyDescent="0.4">
      <c r="A7" s="279">
        <v>1</v>
      </c>
      <c r="B7" s="280">
        <v>2</v>
      </c>
      <c r="C7" s="280">
        <v>3</v>
      </c>
      <c r="D7" s="280">
        <v>4</v>
      </c>
      <c r="E7" s="281">
        <v>5</v>
      </c>
      <c r="K7">
        <f>K14*K13</f>
        <v>140.2664</v>
      </c>
      <c r="N7">
        <v>149.6</v>
      </c>
      <c r="P7" s="277" t="s">
        <v>208</v>
      </c>
      <c r="R7" s="278" t="s">
        <v>206</v>
      </c>
    </row>
    <row r="8" spans="1:19" ht="15.5" x14ac:dyDescent="0.35">
      <c r="A8" s="261" t="s">
        <v>209</v>
      </c>
      <c r="B8" s="282"/>
      <c r="C8" s="282"/>
      <c r="D8" s="282"/>
      <c r="E8" s="283"/>
      <c r="N8">
        <v>3.98</v>
      </c>
      <c r="P8" s="277" t="s">
        <v>210</v>
      </c>
    </row>
    <row r="9" spans="1:19" ht="15.5" x14ac:dyDescent="0.35">
      <c r="A9" s="262" t="s">
        <v>211</v>
      </c>
      <c r="B9" s="284"/>
      <c r="C9" s="284"/>
      <c r="D9" s="284"/>
      <c r="E9" s="285"/>
    </row>
    <row r="10" spans="1:19" ht="15.5" x14ac:dyDescent="0.35">
      <c r="A10" s="262" t="s">
        <v>212</v>
      </c>
      <c r="B10" s="284"/>
      <c r="C10" s="284"/>
      <c r="D10" s="284"/>
      <c r="E10" s="285"/>
      <c r="K10">
        <f>K7-N10</f>
        <v>5.6264000000000181</v>
      </c>
      <c r="N10">
        <v>134.63999999999999</v>
      </c>
    </row>
    <row r="11" spans="1:19" ht="18" customHeight="1" x14ac:dyDescent="0.35">
      <c r="A11" s="286" t="s">
        <v>213</v>
      </c>
      <c r="B11" s="284"/>
      <c r="C11" s="284"/>
      <c r="D11" s="284"/>
      <c r="E11" s="285"/>
      <c r="N11">
        <v>4.07</v>
      </c>
      <c r="S11" t="s">
        <v>214</v>
      </c>
    </row>
    <row r="12" spans="1:19" ht="15.75" customHeight="1" thickBot="1" x14ac:dyDescent="0.4">
      <c r="A12" s="302" t="s">
        <v>215</v>
      </c>
      <c r="B12" s="288"/>
      <c r="C12" s="288"/>
      <c r="D12" s="288"/>
      <c r="E12" s="289"/>
    </row>
    <row r="13" spans="1:19" ht="16" hidden="1" thickBot="1" x14ac:dyDescent="0.4">
      <c r="A13" s="287" t="s">
        <v>216</v>
      </c>
      <c r="B13" s="288"/>
      <c r="C13" s="288"/>
      <c r="D13" s="288"/>
      <c r="E13" s="289"/>
      <c r="H13" t="e">
        <f>P8*K10/P7</f>
        <v>#VALUE!</v>
      </c>
      <c r="K13">
        <v>1.25</v>
      </c>
      <c r="N13">
        <v>3.98</v>
      </c>
      <c r="P13">
        <f>0.09*K10</f>
        <v>0.5063760000000016</v>
      </c>
      <c r="Q13" t="s">
        <v>99</v>
      </c>
    </row>
    <row r="14" spans="1:19" ht="47" thickBot="1" x14ac:dyDescent="0.4">
      <c r="A14" s="290">
        <v>1</v>
      </c>
      <c r="B14" s="291" t="s">
        <v>193</v>
      </c>
      <c r="C14" s="274" t="s">
        <v>194</v>
      </c>
      <c r="D14" s="274" t="s">
        <v>217</v>
      </c>
      <c r="E14" s="275">
        <f>112213.12*1.25</f>
        <v>140266.4</v>
      </c>
      <c r="K14">
        <v>112.21312</v>
      </c>
    </row>
    <row r="15" spans="1:19" ht="135.75" customHeight="1" thickBot="1" x14ac:dyDescent="0.4">
      <c r="A15" s="263">
        <v>2</v>
      </c>
      <c r="B15" s="264" t="s">
        <v>218</v>
      </c>
      <c r="C15" s="260" t="s">
        <v>219</v>
      </c>
      <c r="D15" s="260" t="s">
        <v>220</v>
      </c>
      <c r="E15" s="265">
        <f>E14*4.036151/100</f>
        <v>5661.363706264</v>
      </c>
    </row>
    <row r="16" spans="1:19" ht="79.5" customHeight="1" thickBot="1" x14ac:dyDescent="0.4">
      <c r="A16" s="263">
        <v>3</v>
      </c>
      <c r="B16" s="260" t="s">
        <v>195</v>
      </c>
      <c r="C16" s="260" t="s">
        <v>196</v>
      </c>
      <c r="D16" s="260" t="s">
        <v>221</v>
      </c>
      <c r="E16" s="265">
        <f>E15*5.22</f>
        <v>29552.318546698079</v>
      </c>
      <c r="J16">
        <f>E14*4.036151</f>
        <v>566136.37062639999</v>
      </c>
    </row>
    <row r="17" spans="1:5" ht="108" customHeight="1" thickBot="1" x14ac:dyDescent="0.4">
      <c r="A17" s="263">
        <v>4</v>
      </c>
      <c r="B17" s="260" t="s">
        <v>197</v>
      </c>
      <c r="C17" s="259" t="s">
        <v>198</v>
      </c>
      <c r="D17" s="266" t="s">
        <v>222</v>
      </c>
      <c r="E17" s="267">
        <f>E16*1.15</f>
        <v>33985.166328702791</v>
      </c>
    </row>
    <row r="18" spans="1:5" ht="95.25" customHeight="1" thickBot="1" x14ac:dyDescent="0.4">
      <c r="A18" s="263">
        <v>5</v>
      </c>
      <c r="B18" s="268" t="s">
        <v>223</v>
      </c>
      <c r="C18" s="268" t="s">
        <v>199</v>
      </c>
      <c r="D18" s="269" t="s">
        <v>224</v>
      </c>
      <c r="E18" s="270">
        <f>E17*0.4</f>
        <v>13594.066531481118</v>
      </c>
    </row>
    <row r="19" spans="1:5" ht="56.25" customHeight="1" thickBot="1" x14ac:dyDescent="0.4">
      <c r="A19" s="263">
        <v>6</v>
      </c>
      <c r="B19" s="269" t="s">
        <v>240</v>
      </c>
      <c r="C19" s="269" t="s">
        <v>241</v>
      </c>
      <c r="D19" s="299" t="s">
        <v>245</v>
      </c>
      <c r="E19" s="270">
        <f>E18*0.5</f>
        <v>6797.0332657405588</v>
      </c>
    </row>
    <row r="20" spans="1:5" ht="180.75" customHeight="1" x14ac:dyDescent="0.35">
      <c r="A20" s="300">
        <v>7</v>
      </c>
      <c r="B20" s="458" t="s">
        <v>200</v>
      </c>
      <c r="C20" s="260" t="s">
        <v>201</v>
      </c>
      <c r="D20" s="458" t="s">
        <v>323</v>
      </c>
      <c r="E20" s="265">
        <f>E19*0.1</f>
        <v>679.70332657405595</v>
      </c>
    </row>
    <row r="21" spans="1:5" ht="56.25" customHeight="1" x14ac:dyDescent="0.35">
      <c r="A21" s="475">
        <v>9</v>
      </c>
      <c r="B21" s="476" t="s">
        <v>225</v>
      </c>
      <c r="C21" s="477" t="s">
        <v>203</v>
      </c>
      <c r="D21" s="478" t="s">
        <v>247</v>
      </c>
      <c r="E21" s="479">
        <f>E18*0.07</f>
        <v>951.58465720367838</v>
      </c>
    </row>
    <row r="22" spans="1:5" ht="90.75" customHeight="1" thickBot="1" x14ac:dyDescent="0.4">
      <c r="A22" s="473">
        <v>10</v>
      </c>
      <c r="B22" s="474" t="s">
        <v>226</v>
      </c>
      <c r="C22" s="474" t="s">
        <v>202</v>
      </c>
      <c r="D22" s="470" t="s">
        <v>246</v>
      </c>
      <c r="E22" s="275">
        <f>E19*0.1</f>
        <v>679.70332657405595</v>
      </c>
    </row>
    <row r="23" spans="1:5" ht="29.25" customHeight="1" thickBot="1" x14ac:dyDescent="0.4">
      <c r="A23" s="263">
        <v>12</v>
      </c>
      <c r="B23" s="271" t="s">
        <v>204</v>
      </c>
      <c r="C23" s="272"/>
      <c r="D23" s="272"/>
      <c r="E23" s="273">
        <f>E19+E20+E21+E22</f>
        <v>9108.0245760923481</v>
      </c>
    </row>
    <row r="26" spans="1:5" x14ac:dyDescent="0.35">
      <c r="C26" t="s">
        <v>244</v>
      </c>
    </row>
  </sheetData>
  <mergeCells count="2">
    <mergeCell ref="C3:D3"/>
    <mergeCell ref="B2:E2"/>
  </mergeCells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23"/>
  <sheetViews>
    <sheetView topLeftCell="A19" workbookViewId="0">
      <selection activeCell="C23" sqref="C23:U23"/>
    </sheetView>
  </sheetViews>
  <sheetFormatPr defaultRowHeight="14.5" x14ac:dyDescent="0.35"/>
  <cols>
    <col min="1" max="1" width="6" customWidth="1"/>
    <col min="2" max="2" width="38.7265625" customWidth="1"/>
    <col min="3" max="3" width="29" customWidth="1"/>
    <col min="4" max="4" width="29.81640625" customWidth="1"/>
    <col min="5" max="5" width="20.7265625" customWidth="1"/>
  </cols>
  <sheetData>
    <row r="1" spans="1:18" x14ac:dyDescent="0.35">
      <c r="A1" s="292"/>
      <c r="B1" s="292"/>
      <c r="C1" s="292" t="s">
        <v>231</v>
      </c>
      <c r="D1" s="292"/>
      <c r="E1" s="292"/>
      <c r="F1" s="292"/>
      <c r="G1" s="292"/>
      <c r="H1" s="292"/>
      <c r="I1" s="292"/>
      <c r="J1" s="292"/>
      <c r="K1" s="292"/>
      <c r="L1" s="292"/>
      <c r="M1" s="292"/>
    </row>
    <row r="2" spans="1:18" ht="28.5" customHeight="1" x14ac:dyDescent="0.35">
      <c r="A2" s="292"/>
      <c r="B2" s="532" t="s">
        <v>239</v>
      </c>
      <c r="C2" s="532"/>
      <c r="D2" s="532"/>
      <c r="E2" s="292"/>
      <c r="F2" s="292"/>
      <c r="G2" s="292"/>
      <c r="H2" s="292"/>
      <c r="I2" s="292"/>
      <c r="J2" s="292"/>
      <c r="K2" s="292"/>
      <c r="L2" s="292"/>
      <c r="M2" s="292"/>
    </row>
    <row r="3" spans="1:18" ht="39" customHeight="1" x14ac:dyDescent="0.35">
      <c r="B3" s="293" t="s">
        <v>82</v>
      </c>
      <c r="C3" s="533" t="s">
        <v>232</v>
      </c>
      <c r="D3" s="533"/>
      <c r="P3" s="553"/>
      <c r="Q3" s="553"/>
      <c r="R3" s="553"/>
    </row>
    <row r="4" spans="1:18" x14ac:dyDescent="0.35">
      <c r="A4" t="s">
        <v>238</v>
      </c>
    </row>
    <row r="5" spans="1:18" x14ac:dyDescent="0.35">
      <c r="A5" t="s">
        <v>237</v>
      </c>
    </row>
    <row r="6" spans="1:18" ht="15" thickBot="1" x14ac:dyDescent="0.4"/>
    <row r="7" spans="1:18" ht="110.25" customHeight="1" thickBot="1" x14ac:dyDescent="0.4">
      <c r="A7" s="259" t="s">
        <v>189</v>
      </c>
      <c r="B7" s="260" t="s">
        <v>82</v>
      </c>
      <c r="C7" s="260" t="s">
        <v>190</v>
      </c>
      <c r="D7" s="259" t="s">
        <v>191</v>
      </c>
      <c r="E7" s="260" t="s">
        <v>192</v>
      </c>
    </row>
    <row r="8" spans="1:18" ht="11.25" customHeight="1" thickBot="1" x14ac:dyDescent="0.4">
      <c r="A8" s="279">
        <v>1</v>
      </c>
      <c r="B8" s="280">
        <v>2</v>
      </c>
      <c r="C8" s="280">
        <v>3</v>
      </c>
      <c r="D8" s="280">
        <v>4</v>
      </c>
      <c r="E8" s="281">
        <v>5</v>
      </c>
    </row>
    <row r="9" spans="1:18" ht="15.5" x14ac:dyDescent="0.35">
      <c r="A9" s="295" t="s">
        <v>209</v>
      </c>
      <c r="B9" s="282"/>
      <c r="C9" s="282"/>
      <c r="D9" s="282"/>
      <c r="E9" s="283"/>
    </row>
    <row r="10" spans="1:18" ht="15.5" x14ac:dyDescent="0.35">
      <c r="A10" s="296" t="s">
        <v>233</v>
      </c>
      <c r="B10" s="284"/>
      <c r="C10" s="284"/>
      <c r="D10" s="284"/>
      <c r="E10" s="285"/>
    </row>
    <row r="11" spans="1:18" ht="15.5" x14ac:dyDescent="0.35">
      <c r="A11" s="296" t="s">
        <v>234</v>
      </c>
      <c r="B11" s="284"/>
      <c r="C11" s="284"/>
      <c r="D11" s="284"/>
      <c r="E11" s="285"/>
    </row>
    <row r="12" spans="1:18" ht="15.5" x14ac:dyDescent="0.35">
      <c r="A12" s="297" t="s">
        <v>235</v>
      </c>
      <c r="B12" s="284"/>
      <c r="C12" s="284"/>
      <c r="D12" s="284"/>
      <c r="E12" s="285"/>
    </row>
    <row r="13" spans="1:18" ht="16" thickBot="1" x14ac:dyDescent="0.4">
      <c r="A13" s="298" t="s">
        <v>236</v>
      </c>
      <c r="B13" s="288"/>
      <c r="C13" s="288"/>
      <c r="D13" s="288"/>
      <c r="E13" s="289"/>
    </row>
    <row r="14" spans="1:18" ht="63.75" customHeight="1" thickBot="1" x14ac:dyDescent="0.4">
      <c r="A14" s="290">
        <v>1</v>
      </c>
      <c r="B14" s="291" t="s">
        <v>193</v>
      </c>
      <c r="C14" s="274" t="s">
        <v>194</v>
      </c>
      <c r="D14" s="274" t="s">
        <v>217</v>
      </c>
      <c r="E14" s="275">
        <f>112213.12*1.25</f>
        <v>140266.4</v>
      </c>
    </row>
    <row r="15" spans="1:18" ht="130.5" customHeight="1" thickBot="1" x14ac:dyDescent="0.4">
      <c r="A15" s="263">
        <v>2</v>
      </c>
      <c r="B15" s="264" t="s">
        <v>218</v>
      </c>
      <c r="C15" s="260" t="s">
        <v>249</v>
      </c>
      <c r="D15" s="260" t="s">
        <v>220</v>
      </c>
      <c r="E15" s="265">
        <f>E14*4.036151/100</f>
        <v>5661.363706264</v>
      </c>
    </row>
    <row r="16" spans="1:18" ht="85.5" customHeight="1" thickBot="1" x14ac:dyDescent="0.4">
      <c r="A16" s="263">
        <v>3</v>
      </c>
      <c r="B16" s="260" t="s">
        <v>195</v>
      </c>
      <c r="C16" s="260" t="s">
        <v>196</v>
      </c>
      <c r="D16" s="260" t="s">
        <v>221</v>
      </c>
      <c r="E16" s="265">
        <f>E15*5.22</f>
        <v>29552.318546698079</v>
      </c>
    </row>
    <row r="17" spans="1:21" ht="68.25" customHeight="1" thickBot="1" x14ac:dyDescent="0.4">
      <c r="A17" s="263">
        <v>4</v>
      </c>
      <c r="B17" s="260" t="s">
        <v>197</v>
      </c>
      <c r="C17" s="259" t="s">
        <v>198</v>
      </c>
      <c r="D17" s="266" t="s">
        <v>222</v>
      </c>
      <c r="E17" s="267">
        <f>E16*1.15</f>
        <v>33985.166328702791</v>
      </c>
    </row>
    <row r="18" spans="1:21" ht="86.25" customHeight="1" thickBot="1" x14ac:dyDescent="0.4">
      <c r="A18" s="263">
        <v>6</v>
      </c>
      <c r="B18" s="480" t="s">
        <v>228</v>
      </c>
      <c r="C18" s="480" t="s">
        <v>230</v>
      </c>
      <c r="D18" s="481" t="s">
        <v>229</v>
      </c>
      <c r="E18" s="482">
        <f>E17*0.6</f>
        <v>20391.099797221676</v>
      </c>
    </row>
    <row r="19" spans="1:21" ht="59.25" customHeight="1" thickBot="1" x14ac:dyDescent="0.4">
      <c r="A19" s="263"/>
      <c r="B19" s="481" t="s">
        <v>240</v>
      </c>
      <c r="C19" s="481" t="s">
        <v>241</v>
      </c>
      <c r="D19" s="483" t="s">
        <v>242</v>
      </c>
      <c r="E19" s="482">
        <f>E18*0.5</f>
        <v>10195.549898610838</v>
      </c>
    </row>
    <row r="20" spans="1:21" ht="16" thickBot="1" x14ac:dyDescent="0.4">
      <c r="A20" s="263">
        <v>17</v>
      </c>
      <c r="B20" s="484" t="s">
        <v>243</v>
      </c>
      <c r="C20" s="484"/>
      <c r="D20" s="484"/>
      <c r="E20" s="485">
        <f>E19</f>
        <v>10195.549898610838</v>
      </c>
    </row>
    <row r="23" spans="1:21" x14ac:dyDescent="0.35">
      <c r="C23" s="554" t="s">
        <v>244</v>
      </c>
      <c r="D23" s="535"/>
      <c r="E23" s="535"/>
      <c r="F23" s="535"/>
      <c r="G23" s="535"/>
      <c r="H23" s="535"/>
      <c r="I23" s="535"/>
      <c r="J23" s="535"/>
      <c r="K23" s="535"/>
      <c r="L23" s="535"/>
      <c r="M23" s="535"/>
      <c r="N23" s="535"/>
      <c r="O23" s="535"/>
      <c r="P23" s="535"/>
      <c r="Q23" s="535"/>
      <c r="R23" s="535"/>
      <c r="S23" s="535"/>
      <c r="T23" s="535"/>
      <c r="U23" s="535"/>
    </row>
  </sheetData>
  <mergeCells count="4">
    <mergeCell ref="C3:D3"/>
    <mergeCell ref="B2:D2"/>
    <mergeCell ref="P3:R3"/>
    <mergeCell ref="C23:U23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59999389629810485"/>
    <pageSetUpPr fitToPage="1"/>
  </sheetPr>
  <dimension ref="A1:O32"/>
  <sheetViews>
    <sheetView topLeftCell="A16" zoomScale="90" zoomScaleNormal="90" workbookViewId="0">
      <selection activeCell="A3" sqref="A3:L5"/>
    </sheetView>
  </sheetViews>
  <sheetFormatPr defaultRowHeight="14.5" x14ac:dyDescent="0.35"/>
  <cols>
    <col min="1" max="1" width="3.7265625" customWidth="1"/>
    <col min="2" max="2" width="22.7265625" customWidth="1"/>
    <col min="3" max="3" width="37.26953125" customWidth="1"/>
    <col min="4" max="4" width="13.7265625" customWidth="1"/>
    <col min="5" max="5" width="14.81640625" customWidth="1"/>
    <col min="6" max="6" width="11.453125" bestFit="1" customWidth="1"/>
    <col min="7" max="7" width="11.26953125" customWidth="1"/>
    <col min="12" max="12" width="15.7265625" customWidth="1"/>
  </cols>
  <sheetData>
    <row r="1" spans="1:15" ht="15.5" x14ac:dyDescent="0.35">
      <c r="A1" s="596" t="s">
        <v>335</v>
      </c>
      <c r="B1" s="596"/>
      <c r="C1" s="596"/>
      <c r="D1" s="596"/>
      <c r="E1" s="596"/>
      <c r="F1" s="596"/>
      <c r="G1" s="596"/>
      <c r="H1" s="596"/>
      <c r="I1" s="596"/>
      <c r="J1" s="596"/>
      <c r="K1" s="596"/>
      <c r="L1" s="596"/>
    </row>
    <row r="2" spans="1:15" ht="19.5" customHeight="1" x14ac:dyDescent="0.35">
      <c r="A2" s="597" t="s">
        <v>100</v>
      </c>
      <c r="B2" s="597"/>
      <c r="C2" s="597"/>
      <c r="D2" s="597"/>
      <c r="E2" s="597"/>
      <c r="F2" s="597"/>
      <c r="G2" s="597"/>
      <c r="H2" s="597"/>
      <c r="I2" s="597"/>
      <c r="J2" s="597"/>
      <c r="K2" s="597"/>
      <c r="L2" s="597"/>
    </row>
    <row r="3" spans="1:15" ht="48.75" customHeight="1" x14ac:dyDescent="0.35">
      <c r="A3" s="598" t="s">
        <v>2</v>
      </c>
      <c r="B3" s="598"/>
      <c r="C3" s="598"/>
      <c r="D3" s="599" t="s">
        <v>232</v>
      </c>
      <c r="E3" s="599"/>
      <c r="F3" s="599"/>
      <c r="G3" s="599"/>
      <c r="H3" s="599"/>
      <c r="I3" s="599"/>
      <c r="J3" s="599"/>
      <c r="K3" s="599"/>
      <c r="L3" s="599"/>
    </row>
    <row r="4" spans="1:15" ht="15.75" customHeight="1" x14ac:dyDescent="0.35">
      <c r="A4" s="598" t="s">
        <v>3</v>
      </c>
      <c r="B4" s="598"/>
      <c r="C4" s="598"/>
      <c r="D4" s="599" t="s">
        <v>156</v>
      </c>
      <c r="E4" s="599"/>
      <c r="F4" s="599"/>
      <c r="G4" s="599"/>
      <c r="H4" s="599"/>
      <c r="I4" s="599"/>
      <c r="J4" s="599"/>
      <c r="K4" s="599"/>
      <c r="L4" s="599"/>
    </row>
    <row r="5" spans="1:15" ht="15.75" customHeight="1" x14ac:dyDescent="0.35">
      <c r="A5" s="598" t="s">
        <v>4</v>
      </c>
      <c r="B5" s="598"/>
      <c r="C5" s="598"/>
      <c r="D5" s="599" t="s">
        <v>336</v>
      </c>
      <c r="E5" s="599"/>
      <c r="F5" s="599"/>
      <c r="G5" s="599"/>
      <c r="H5" s="599"/>
      <c r="I5" s="599"/>
      <c r="J5" s="599"/>
      <c r="K5" s="599"/>
      <c r="L5" s="599"/>
    </row>
    <row r="6" spans="1:15" ht="16" thickBot="1" x14ac:dyDescent="0.4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</row>
    <row r="7" spans="1:15" ht="42.5" thickBot="1" x14ac:dyDescent="0.4">
      <c r="A7" s="85" t="s">
        <v>5</v>
      </c>
      <c r="B7" s="85" t="s">
        <v>6</v>
      </c>
      <c r="C7" s="85" t="s">
        <v>7</v>
      </c>
      <c r="D7" s="85" t="s">
        <v>8</v>
      </c>
      <c r="E7" s="85" t="s">
        <v>9</v>
      </c>
      <c r="F7" s="557" t="s">
        <v>10</v>
      </c>
      <c r="G7" s="558"/>
      <c r="H7" s="558"/>
      <c r="I7" s="558"/>
      <c r="J7" s="558"/>
      <c r="K7" s="86"/>
      <c r="L7" s="87" t="s">
        <v>11</v>
      </c>
    </row>
    <row r="8" spans="1:15" ht="15" thickBot="1" x14ac:dyDescent="0.4">
      <c r="A8" s="88">
        <v>1</v>
      </c>
      <c r="B8" s="89">
        <v>2</v>
      </c>
      <c r="C8" s="89">
        <v>3</v>
      </c>
      <c r="D8" s="89">
        <v>4</v>
      </c>
      <c r="E8" s="89">
        <v>5</v>
      </c>
      <c r="F8" s="595">
        <v>6</v>
      </c>
      <c r="G8" s="595"/>
      <c r="H8" s="595"/>
      <c r="I8" s="595"/>
      <c r="J8" s="595"/>
      <c r="K8" s="90"/>
      <c r="L8" s="91">
        <v>7</v>
      </c>
    </row>
    <row r="9" spans="1:15" ht="15" thickBot="1" x14ac:dyDescent="0.4">
      <c r="A9" s="600" t="s">
        <v>12</v>
      </c>
      <c r="B9" s="601"/>
      <c r="C9" s="601"/>
      <c r="D9" s="601"/>
      <c r="E9" s="601"/>
      <c r="F9" s="602"/>
      <c r="G9" s="602"/>
      <c r="H9" s="602"/>
      <c r="I9" s="602"/>
      <c r="J9" s="602"/>
      <c r="K9" s="603"/>
      <c r="L9" s="604"/>
    </row>
    <row r="10" spans="1:15" ht="78" thickBot="1" x14ac:dyDescent="0.4">
      <c r="A10" s="92" t="s">
        <v>13</v>
      </c>
      <c r="B10" s="93" t="s">
        <v>101</v>
      </c>
      <c r="C10" s="93" t="s">
        <v>102</v>
      </c>
      <c r="D10" s="93" t="s">
        <v>103</v>
      </c>
      <c r="E10" s="94">
        <v>6</v>
      </c>
      <c r="F10" s="605">
        <v>2432</v>
      </c>
      <c r="G10" s="575"/>
      <c r="H10" s="575"/>
      <c r="I10" s="575"/>
      <c r="J10" s="575"/>
      <c r="K10" s="576"/>
      <c r="L10" s="95">
        <f>E10*F10</f>
        <v>14592</v>
      </c>
      <c r="O10" s="96"/>
    </row>
    <row r="11" spans="1:15" ht="15" thickBot="1" x14ac:dyDescent="0.4">
      <c r="A11" s="606" t="s">
        <v>104</v>
      </c>
      <c r="B11" s="607"/>
      <c r="C11" s="607"/>
      <c r="D11" s="607"/>
      <c r="E11" s="607"/>
      <c r="F11" s="608"/>
      <c r="G11" s="608"/>
      <c r="H11" s="608"/>
      <c r="I11" s="608"/>
      <c r="J11" s="608"/>
      <c r="K11" s="97"/>
      <c r="L11" s="98">
        <f>L10</f>
        <v>14592</v>
      </c>
      <c r="O11" s="99"/>
    </row>
    <row r="12" spans="1:15" ht="15" thickBot="1" x14ac:dyDescent="0.4">
      <c r="A12" s="600" t="s">
        <v>14</v>
      </c>
      <c r="B12" s="601"/>
      <c r="C12" s="601"/>
      <c r="D12" s="601"/>
      <c r="E12" s="601"/>
      <c r="F12" s="601"/>
      <c r="G12" s="601"/>
      <c r="H12" s="601"/>
      <c r="I12" s="601"/>
      <c r="J12" s="601"/>
      <c r="K12" s="609"/>
      <c r="L12" s="604"/>
    </row>
    <row r="13" spans="1:15" ht="82.5" customHeight="1" thickBot="1" x14ac:dyDescent="0.4">
      <c r="A13" s="100" t="s">
        <v>15</v>
      </c>
      <c r="B13" s="93" t="s">
        <v>105</v>
      </c>
      <c r="C13" s="93" t="s">
        <v>106</v>
      </c>
      <c r="D13" s="93" t="s">
        <v>103</v>
      </c>
      <c r="E13" s="101">
        <f>E10</f>
        <v>6</v>
      </c>
      <c r="F13" s="605">
        <v>589</v>
      </c>
      <c r="G13" s="575"/>
      <c r="H13" s="575">
        <v>1.2</v>
      </c>
      <c r="I13" s="575"/>
      <c r="J13" s="575"/>
      <c r="K13" s="576"/>
      <c r="L13" s="102">
        <f>E13*F13*H13</f>
        <v>4240.8</v>
      </c>
    </row>
    <row r="14" spans="1:15" ht="15" thickBot="1" x14ac:dyDescent="0.4">
      <c r="A14" s="557" t="s">
        <v>16</v>
      </c>
      <c r="B14" s="558"/>
      <c r="C14" s="558"/>
      <c r="D14" s="558"/>
      <c r="E14" s="558"/>
      <c r="F14" s="558"/>
      <c r="G14" s="558"/>
      <c r="H14" s="558"/>
      <c r="I14" s="558"/>
      <c r="J14" s="558"/>
      <c r="K14" s="86"/>
      <c r="L14" s="103">
        <f>L13</f>
        <v>4240.8</v>
      </c>
    </row>
    <row r="15" spans="1:15" ht="15" thickBot="1" x14ac:dyDescent="0.4">
      <c r="A15" s="577" t="s">
        <v>17</v>
      </c>
      <c r="B15" s="578"/>
      <c r="C15" s="578"/>
      <c r="D15" s="578"/>
      <c r="E15" s="578"/>
      <c r="F15" s="578"/>
      <c r="G15" s="578"/>
      <c r="H15" s="578"/>
      <c r="I15" s="578"/>
      <c r="J15" s="578"/>
      <c r="K15" s="104"/>
      <c r="L15" s="103">
        <f>L13+L10</f>
        <v>18832.8</v>
      </c>
      <c r="M15" s="105"/>
      <c r="N15" s="106"/>
    </row>
    <row r="16" spans="1:15" ht="15" thickBot="1" x14ac:dyDescent="0.4">
      <c r="A16" s="557" t="s">
        <v>18</v>
      </c>
      <c r="B16" s="558"/>
      <c r="C16" s="558"/>
      <c r="D16" s="558"/>
      <c r="E16" s="558"/>
      <c r="F16" s="558"/>
      <c r="G16" s="558"/>
      <c r="H16" s="558"/>
      <c r="I16" s="558"/>
      <c r="J16" s="558"/>
      <c r="K16" s="558"/>
      <c r="L16" s="579"/>
      <c r="M16" s="107"/>
    </row>
    <row r="17" spans="1:14" ht="51" customHeight="1" x14ac:dyDescent="0.35">
      <c r="A17" s="108" t="s">
        <v>19</v>
      </c>
      <c r="B17" s="109" t="s">
        <v>107</v>
      </c>
      <c r="C17" s="109" t="s">
        <v>108</v>
      </c>
      <c r="D17" s="109" t="s">
        <v>20</v>
      </c>
      <c r="E17" s="110"/>
      <c r="F17" s="111">
        <f>L11</f>
        <v>14592</v>
      </c>
      <c r="G17" s="112" t="s">
        <v>39</v>
      </c>
      <c r="H17" s="110">
        <v>8.7499999999999994E-2</v>
      </c>
      <c r="I17" s="113"/>
      <c r="J17" s="113"/>
      <c r="K17" s="114"/>
      <c r="L17" s="115">
        <f>F17*H17</f>
        <v>1276.8</v>
      </c>
      <c r="M17" s="107"/>
      <c r="N17" s="106"/>
    </row>
    <row r="18" spans="1:14" ht="53.25" customHeight="1" x14ac:dyDescent="0.35">
      <c r="A18" s="580" t="s">
        <v>21</v>
      </c>
      <c r="B18" s="582" t="s">
        <v>22</v>
      </c>
      <c r="C18" s="582" t="s">
        <v>23</v>
      </c>
      <c r="D18" s="582" t="s">
        <v>20</v>
      </c>
      <c r="E18" s="585">
        <v>0.06</v>
      </c>
      <c r="F18" s="587" t="s">
        <v>24</v>
      </c>
      <c r="G18" s="589">
        <f>L11</f>
        <v>14592</v>
      </c>
      <c r="H18" s="587" t="s">
        <v>25</v>
      </c>
      <c r="I18" s="589">
        <f>L17</f>
        <v>1276.8</v>
      </c>
      <c r="J18" s="591" t="s">
        <v>26</v>
      </c>
      <c r="K18" s="593"/>
      <c r="L18" s="555">
        <f>E18*(G18+I18)</f>
        <v>952.12799999999993</v>
      </c>
      <c r="M18" s="107"/>
    </row>
    <row r="19" spans="1:14" ht="13.5" customHeight="1" thickBot="1" x14ac:dyDescent="0.4">
      <c r="A19" s="581"/>
      <c r="B19" s="583"/>
      <c r="C19" s="583"/>
      <c r="D19" s="584"/>
      <c r="E19" s="586"/>
      <c r="F19" s="588"/>
      <c r="G19" s="590"/>
      <c r="H19" s="588"/>
      <c r="I19" s="590"/>
      <c r="J19" s="592"/>
      <c r="K19" s="594"/>
      <c r="L19" s="556"/>
      <c r="M19" s="107"/>
    </row>
    <row r="20" spans="1:14" ht="27.75" customHeight="1" thickBot="1" x14ac:dyDescent="0.4">
      <c r="A20" s="572" t="s">
        <v>27</v>
      </c>
      <c r="B20" s="573"/>
      <c r="C20" s="573"/>
      <c r="D20" s="573"/>
      <c r="E20" s="573"/>
      <c r="F20" s="573"/>
      <c r="G20" s="573"/>
      <c r="H20" s="573"/>
      <c r="I20" s="573"/>
      <c r="J20" s="573"/>
      <c r="K20" s="574"/>
      <c r="L20" s="116">
        <f>L17+L18</f>
        <v>2228.9279999999999</v>
      </c>
      <c r="M20" s="107"/>
    </row>
    <row r="21" spans="1:14" ht="56.5" thickBot="1" x14ac:dyDescent="0.4">
      <c r="A21" s="117">
        <v>5</v>
      </c>
      <c r="B21" s="118" t="s">
        <v>109</v>
      </c>
      <c r="C21" s="119" t="s">
        <v>110</v>
      </c>
      <c r="D21" s="119" t="s">
        <v>111</v>
      </c>
      <c r="E21" s="120">
        <v>3</v>
      </c>
      <c r="F21" s="564">
        <v>80</v>
      </c>
      <c r="G21" s="565"/>
      <c r="H21" s="565"/>
      <c r="I21" s="565"/>
      <c r="J21" s="565"/>
      <c r="K21" s="121"/>
      <c r="L21" s="122">
        <f>F21*E21</f>
        <v>240</v>
      </c>
      <c r="M21" s="107"/>
    </row>
    <row r="22" spans="1:14" ht="56.5" thickBot="1" x14ac:dyDescent="0.4">
      <c r="A22" s="123">
        <v>6</v>
      </c>
      <c r="B22" s="124" t="s">
        <v>112</v>
      </c>
      <c r="C22" s="125" t="s">
        <v>113</v>
      </c>
      <c r="D22" s="125" t="s">
        <v>111</v>
      </c>
      <c r="E22" s="126">
        <v>3</v>
      </c>
      <c r="F22" s="566">
        <v>80</v>
      </c>
      <c r="G22" s="567"/>
      <c r="H22" s="567"/>
      <c r="I22" s="567"/>
      <c r="J22" s="567"/>
      <c r="K22" s="127"/>
      <c r="L22" s="122">
        <f>F22*E22</f>
        <v>240</v>
      </c>
      <c r="M22" s="107"/>
    </row>
    <row r="23" spans="1:14" ht="56" x14ac:dyDescent="0.35">
      <c r="A23" s="123">
        <v>7</v>
      </c>
      <c r="B23" s="124" t="s">
        <v>114</v>
      </c>
      <c r="C23" s="125" t="s">
        <v>115</v>
      </c>
      <c r="D23" s="125" t="s">
        <v>116</v>
      </c>
      <c r="E23" s="126">
        <v>1</v>
      </c>
      <c r="F23" s="566">
        <v>300</v>
      </c>
      <c r="G23" s="567"/>
      <c r="H23" s="567"/>
      <c r="I23" s="567"/>
      <c r="J23" s="567"/>
      <c r="K23" s="127"/>
      <c r="L23" s="122">
        <f>F23*E23</f>
        <v>300</v>
      </c>
      <c r="M23" s="107"/>
    </row>
    <row r="24" spans="1:14" ht="56.5" thickBot="1" x14ac:dyDescent="0.4">
      <c r="A24" s="128">
        <v>8</v>
      </c>
      <c r="B24" s="129" t="s">
        <v>117</v>
      </c>
      <c r="C24" s="130" t="s">
        <v>29</v>
      </c>
      <c r="D24" s="130" t="s">
        <v>28</v>
      </c>
      <c r="E24" s="568">
        <v>0.1</v>
      </c>
      <c r="F24" s="569"/>
      <c r="G24" s="569"/>
      <c r="H24" s="570">
        <f>L15</f>
        <v>18832.8</v>
      </c>
      <c r="I24" s="570"/>
      <c r="J24" s="571"/>
      <c r="K24" s="131"/>
      <c r="L24" s="132">
        <f>H24*E24</f>
        <v>1883.28</v>
      </c>
      <c r="M24" s="107"/>
    </row>
    <row r="25" spans="1:14" ht="15" thickBot="1" x14ac:dyDescent="0.4">
      <c r="A25" s="572" t="s">
        <v>118</v>
      </c>
      <c r="B25" s="573"/>
      <c r="C25" s="573"/>
      <c r="D25" s="573"/>
      <c r="E25" s="573"/>
      <c r="F25" s="573"/>
      <c r="G25" s="573"/>
      <c r="H25" s="573"/>
      <c r="I25" s="573"/>
      <c r="J25" s="574"/>
      <c r="K25" s="133"/>
      <c r="L25" s="103">
        <f>L21+L22+L23+L24</f>
        <v>2663.2799999999997</v>
      </c>
      <c r="M25" s="107"/>
    </row>
    <row r="26" spans="1:14" ht="15" thickBot="1" x14ac:dyDescent="0.4">
      <c r="A26" s="557" t="s">
        <v>30</v>
      </c>
      <c r="B26" s="558"/>
      <c r="C26" s="558"/>
      <c r="D26" s="558"/>
      <c r="E26" s="558"/>
      <c r="F26" s="558"/>
      <c r="G26" s="558"/>
      <c r="H26" s="558"/>
      <c r="I26" s="558"/>
      <c r="J26" s="558"/>
      <c r="K26" s="86"/>
      <c r="L26" s="103">
        <f>L15+L20+L25</f>
        <v>23725.007999999998</v>
      </c>
      <c r="M26" s="105"/>
      <c r="N26" s="106"/>
    </row>
    <row r="27" spans="1:14" ht="49.5" customHeight="1" thickBot="1" x14ac:dyDescent="0.4">
      <c r="A27" s="134">
        <v>9</v>
      </c>
      <c r="B27" s="559" t="s">
        <v>31</v>
      </c>
      <c r="C27" s="560"/>
      <c r="D27" s="559">
        <v>1.2</v>
      </c>
      <c r="E27" s="561"/>
      <c r="F27" s="561"/>
      <c r="G27" s="561"/>
      <c r="H27" s="561"/>
      <c r="I27" s="561"/>
      <c r="J27" s="561"/>
      <c r="K27" s="560"/>
      <c r="L27" s="135">
        <f>L26*D27</f>
        <v>28470.009599999998</v>
      </c>
      <c r="M27" s="107"/>
    </row>
    <row r="28" spans="1:14" ht="28.5" customHeight="1" thickBot="1" x14ac:dyDescent="0.4">
      <c r="A28" s="88">
        <v>10</v>
      </c>
      <c r="B28" s="562" t="s">
        <v>32</v>
      </c>
      <c r="C28" s="563"/>
      <c r="D28" s="563"/>
      <c r="E28" s="563"/>
      <c r="F28" s="563"/>
      <c r="G28" s="563"/>
      <c r="H28" s="563"/>
      <c r="I28" s="563"/>
      <c r="J28" s="563"/>
      <c r="K28" s="136"/>
      <c r="L28" s="103">
        <f>L27</f>
        <v>28470.009599999998</v>
      </c>
      <c r="M28" s="107"/>
    </row>
    <row r="32" spans="1:14" x14ac:dyDescent="0.35">
      <c r="C32" s="535" t="s">
        <v>185</v>
      </c>
      <c r="D32" s="535"/>
      <c r="E32" s="535"/>
      <c r="F32" s="535"/>
      <c r="G32" s="535"/>
      <c r="H32" s="535"/>
    </row>
  </sheetData>
  <mergeCells count="43">
    <mergeCell ref="C32:H32"/>
    <mergeCell ref="F8:J8"/>
    <mergeCell ref="A1:L1"/>
    <mergeCell ref="A2:L2"/>
    <mergeCell ref="A3:C3"/>
    <mergeCell ref="D3:L3"/>
    <mergeCell ref="A4:C4"/>
    <mergeCell ref="D4:L4"/>
    <mergeCell ref="A5:C5"/>
    <mergeCell ref="D5:L5"/>
    <mergeCell ref="F7:J7"/>
    <mergeCell ref="A9:L9"/>
    <mergeCell ref="F10:K10"/>
    <mergeCell ref="A11:J11"/>
    <mergeCell ref="A12:L12"/>
    <mergeCell ref="F13:G13"/>
    <mergeCell ref="H13:K13"/>
    <mergeCell ref="A20:K20"/>
    <mergeCell ref="A14:J14"/>
    <mergeCell ref="A15:J15"/>
    <mergeCell ref="A16:L16"/>
    <mergeCell ref="A18:A19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A26:J26"/>
    <mergeCell ref="B27:C27"/>
    <mergeCell ref="D27:K27"/>
    <mergeCell ref="B28:J28"/>
    <mergeCell ref="F21:J21"/>
    <mergeCell ref="F22:J22"/>
    <mergeCell ref="F23:J23"/>
    <mergeCell ref="E24:G24"/>
    <mergeCell ref="H24:J24"/>
    <mergeCell ref="A25:J25"/>
  </mergeCells>
  <pageMargins left="0.7" right="0.7" top="0.75" bottom="0.75" header="0.3" footer="0.3"/>
  <pageSetup paperSize="9" scale="52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3" tint="0.59999389629810485"/>
    <pageSetUpPr fitToPage="1"/>
  </sheetPr>
  <dimension ref="A1:Y115"/>
  <sheetViews>
    <sheetView topLeftCell="A83" zoomScale="80" zoomScaleNormal="80" workbookViewId="0">
      <selection activeCell="C3" sqref="C3:N5"/>
    </sheetView>
  </sheetViews>
  <sheetFormatPr defaultRowHeight="14.5" x14ac:dyDescent="0.35"/>
  <cols>
    <col min="1" max="1" width="2.453125" bestFit="1" customWidth="1"/>
    <col min="2" max="2" width="7.26953125" bestFit="1" customWidth="1"/>
    <col min="3" max="3" width="36.26953125" customWidth="1"/>
    <col min="7" max="7" width="19.7265625" customWidth="1"/>
    <col min="9" max="9" width="15.81640625" customWidth="1"/>
    <col min="12" max="12" width="14.453125" bestFit="1" customWidth="1"/>
    <col min="14" max="14" width="9.1796875" customWidth="1"/>
    <col min="15" max="15" width="3.81640625" customWidth="1"/>
    <col min="16" max="19" width="9.1796875" hidden="1" customWidth="1"/>
    <col min="22" max="22" width="20.1796875" bestFit="1" customWidth="1"/>
    <col min="24" max="24" width="13.81640625" bestFit="1" customWidth="1"/>
    <col min="25" max="25" width="26.7265625" customWidth="1"/>
  </cols>
  <sheetData>
    <row r="1" spans="1:22" ht="15.5" x14ac:dyDescent="0.35">
      <c r="A1" s="676" t="s">
        <v>322</v>
      </c>
      <c r="B1" s="676"/>
      <c r="C1" s="676"/>
      <c r="D1" s="676"/>
      <c r="E1" s="676"/>
      <c r="F1" s="676"/>
      <c r="G1" s="676"/>
      <c r="H1" s="676"/>
      <c r="I1" s="676"/>
      <c r="J1" s="676"/>
      <c r="K1" s="676"/>
      <c r="L1" s="676"/>
      <c r="M1" s="676"/>
      <c r="N1" s="676"/>
      <c r="O1" s="676"/>
      <c r="P1" s="676"/>
      <c r="Q1" s="676"/>
      <c r="R1" s="676"/>
      <c r="S1" s="676"/>
      <c r="T1" s="676"/>
      <c r="U1" s="676"/>
      <c r="V1" s="676"/>
    </row>
    <row r="2" spans="1:22" ht="15.5" x14ac:dyDescent="0.35">
      <c r="A2" s="137"/>
      <c r="B2" s="137"/>
      <c r="C2" s="137"/>
      <c r="D2" s="137"/>
      <c r="E2" s="677" t="s">
        <v>119</v>
      </c>
      <c r="F2" s="677"/>
      <c r="G2" s="677"/>
      <c r="H2" s="677"/>
      <c r="I2" s="677"/>
      <c r="J2" s="677"/>
      <c r="K2" s="677"/>
      <c r="L2" s="677"/>
      <c r="M2" s="677"/>
      <c r="N2" s="677"/>
      <c r="O2" s="677"/>
      <c r="P2" s="677"/>
      <c r="Q2" s="677"/>
      <c r="R2" s="677"/>
      <c r="S2" s="677"/>
      <c r="T2" s="677"/>
      <c r="U2" s="677"/>
      <c r="V2" s="137"/>
    </row>
    <row r="3" spans="1:22" ht="56.25" customHeight="1" x14ac:dyDescent="0.35">
      <c r="A3" s="137"/>
      <c r="B3" s="137"/>
      <c r="C3" s="598" t="s">
        <v>2</v>
      </c>
      <c r="D3" s="598"/>
      <c r="E3" s="598"/>
      <c r="F3" s="599" t="s">
        <v>232</v>
      </c>
      <c r="G3" s="599"/>
      <c r="H3" s="599"/>
      <c r="I3" s="599"/>
      <c r="J3" s="599"/>
      <c r="K3" s="599"/>
      <c r="L3" s="599"/>
      <c r="M3" s="599"/>
      <c r="N3" s="599"/>
      <c r="O3" s="463"/>
      <c r="P3" s="463"/>
      <c r="Q3" s="463"/>
      <c r="R3" s="463"/>
      <c r="S3" s="463"/>
      <c r="T3" s="463"/>
      <c r="U3" s="463"/>
      <c r="V3" s="137"/>
    </row>
    <row r="4" spans="1:22" ht="36.75" customHeight="1" x14ac:dyDescent="0.35">
      <c r="A4" s="137"/>
      <c r="B4" s="137"/>
      <c r="C4" s="598" t="s">
        <v>3</v>
      </c>
      <c r="D4" s="598"/>
      <c r="E4" s="598"/>
      <c r="F4" s="599" t="s">
        <v>156</v>
      </c>
      <c r="G4" s="599"/>
      <c r="H4" s="599"/>
      <c r="I4" s="599"/>
      <c r="J4" s="599"/>
      <c r="K4" s="599"/>
      <c r="L4" s="599"/>
      <c r="M4" s="599"/>
      <c r="N4" s="599"/>
      <c r="O4" s="463"/>
      <c r="P4" s="463"/>
      <c r="Q4" s="463"/>
      <c r="R4" s="463"/>
      <c r="S4" s="463"/>
      <c r="T4" s="463"/>
      <c r="U4" s="463"/>
      <c r="V4" s="137"/>
    </row>
    <row r="5" spans="1:22" ht="25.5" customHeight="1" x14ac:dyDescent="0.35">
      <c r="A5" s="137"/>
      <c r="B5" s="137"/>
      <c r="C5" s="598" t="s">
        <v>4</v>
      </c>
      <c r="D5" s="598"/>
      <c r="E5" s="598"/>
      <c r="F5" s="599" t="s">
        <v>336</v>
      </c>
      <c r="G5" s="599"/>
      <c r="H5" s="599"/>
      <c r="I5" s="599"/>
      <c r="J5" s="599"/>
      <c r="K5" s="599"/>
      <c r="L5" s="599"/>
      <c r="M5" s="599"/>
      <c r="N5" s="599"/>
      <c r="O5" s="463"/>
      <c r="P5" s="463"/>
      <c r="Q5" s="463"/>
      <c r="R5" s="463"/>
      <c r="S5" s="463"/>
      <c r="T5" s="463"/>
      <c r="U5" s="463"/>
      <c r="V5" s="137"/>
    </row>
    <row r="6" spans="1:22" ht="15.5" x14ac:dyDescent="0.35">
      <c r="A6" s="137"/>
      <c r="B6" s="137"/>
      <c r="C6" s="137"/>
      <c r="D6" s="137"/>
      <c r="E6" s="463"/>
      <c r="F6" s="463"/>
      <c r="G6" s="463"/>
      <c r="H6" s="463"/>
      <c r="I6" s="463"/>
      <c r="J6" s="463"/>
      <c r="K6" s="463"/>
      <c r="L6" s="463"/>
      <c r="M6" s="463"/>
      <c r="N6" s="463"/>
      <c r="O6" s="463"/>
      <c r="P6" s="463"/>
      <c r="Q6" s="463"/>
      <c r="R6" s="463"/>
      <c r="S6" s="463"/>
      <c r="T6" s="463"/>
      <c r="U6" s="463"/>
      <c r="V6" s="137"/>
    </row>
    <row r="7" spans="1:22" ht="15.5" x14ac:dyDescent="0.35">
      <c r="A7" s="137"/>
      <c r="B7" s="137"/>
      <c r="C7" s="137"/>
      <c r="D7" s="137"/>
      <c r="E7" s="138"/>
      <c r="F7" s="138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</row>
    <row r="8" spans="1:22" ht="16" thickBot="1" x14ac:dyDescent="0.4">
      <c r="A8" s="137"/>
      <c r="B8" s="678"/>
      <c r="C8" s="678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</row>
    <row r="9" spans="1:22" ht="15.5" x14ac:dyDescent="0.35">
      <c r="A9" s="137"/>
      <c r="B9" s="619" t="s">
        <v>5</v>
      </c>
      <c r="C9" s="619" t="s">
        <v>33</v>
      </c>
      <c r="D9" s="613" t="s">
        <v>34</v>
      </c>
      <c r="E9" s="614"/>
      <c r="F9" s="614"/>
      <c r="G9" s="615"/>
      <c r="H9" s="613" t="s">
        <v>35</v>
      </c>
      <c r="I9" s="614"/>
      <c r="J9" s="614"/>
      <c r="K9" s="614"/>
      <c r="L9" s="614"/>
      <c r="M9" s="614"/>
      <c r="N9" s="614"/>
      <c r="O9" s="614"/>
      <c r="P9" s="614"/>
      <c r="Q9" s="614"/>
      <c r="R9" s="614"/>
      <c r="S9" s="614"/>
      <c r="T9" s="614"/>
      <c r="U9" s="615"/>
      <c r="V9" s="619" t="s">
        <v>36</v>
      </c>
    </row>
    <row r="10" spans="1:22" ht="15.5" x14ac:dyDescent="0.35">
      <c r="A10" s="137"/>
      <c r="B10" s="620"/>
      <c r="C10" s="620"/>
      <c r="D10" s="671"/>
      <c r="E10" s="651"/>
      <c r="F10" s="651"/>
      <c r="G10" s="652"/>
      <c r="H10" s="671"/>
      <c r="I10" s="651"/>
      <c r="J10" s="651"/>
      <c r="K10" s="651"/>
      <c r="L10" s="651"/>
      <c r="M10" s="651"/>
      <c r="N10" s="651"/>
      <c r="O10" s="651"/>
      <c r="P10" s="651"/>
      <c r="Q10" s="651"/>
      <c r="R10" s="651"/>
      <c r="S10" s="651"/>
      <c r="T10" s="651"/>
      <c r="U10" s="652"/>
      <c r="V10" s="620"/>
    </row>
    <row r="11" spans="1:22" ht="15.5" x14ac:dyDescent="0.35">
      <c r="A11" s="137"/>
      <c r="B11" s="620"/>
      <c r="C11" s="620"/>
      <c r="D11" s="671"/>
      <c r="E11" s="651"/>
      <c r="F11" s="651"/>
      <c r="G11" s="652"/>
      <c r="H11" s="671"/>
      <c r="I11" s="651"/>
      <c r="J11" s="651"/>
      <c r="K11" s="651"/>
      <c r="L11" s="651"/>
      <c r="M11" s="651"/>
      <c r="N11" s="651"/>
      <c r="O11" s="651"/>
      <c r="P11" s="651"/>
      <c r="Q11" s="651"/>
      <c r="R11" s="651"/>
      <c r="S11" s="651"/>
      <c r="T11" s="651"/>
      <c r="U11" s="652"/>
      <c r="V11" s="620"/>
    </row>
    <row r="12" spans="1:22" ht="16" thickBot="1" x14ac:dyDescent="0.4">
      <c r="A12" s="137"/>
      <c r="B12" s="621"/>
      <c r="C12" s="621"/>
      <c r="D12" s="672"/>
      <c r="E12" s="659"/>
      <c r="F12" s="659"/>
      <c r="G12" s="660"/>
      <c r="H12" s="672"/>
      <c r="I12" s="659"/>
      <c r="J12" s="659"/>
      <c r="K12" s="659"/>
      <c r="L12" s="659"/>
      <c r="M12" s="659"/>
      <c r="N12" s="659"/>
      <c r="O12" s="659"/>
      <c r="P12" s="659"/>
      <c r="Q12" s="659"/>
      <c r="R12" s="659"/>
      <c r="S12" s="659"/>
      <c r="T12" s="659"/>
      <c r="U12" s="660"/>
      <c r="V12" s="621"/>
    </row>
    <row r="13" spans="1:22" ht="16" thickBot="1" x14ac:dyDescent="0.4">
      <c r="A13" s="137"/>
      <c r="B13" s="139">
        <v>1</v>
      </c>
      <c r="C13" s="140">
        <v>2</v>
      </c>
      <c r="D13" s="679">
        <v>3</v>
      </c>
      <c r="E13" s="644"/>
      <c r="F13" s="644"/>
      <c r="G13" s="680"/>
      <c r="H13" s="679">
        <v>4</v>
      </c>
      <c r="I13" s="644"/>
      <c r="J13" s="644"/>
      <c r="K13" s="644"/>
      <c r="L13" s="644"/>
      <c r="M13" s="644"/>
      <c r="N13" s="644"/>
      <c r="O13" s="644"/>
      <c r="P13" s="644"/>
      <c r="Q13" s="644"/>
      <c r="R13" s="644"/>
      <c r="S13" s="644"/>
      <c r="T13" s="644"/>
      <c r="U13" s="680"/>
      <c r="V13" s="140">
        <v>5</v>
      </c>
    </row>
    <row r="14" spans="1:22" ht="16" thickBot="1" x14ac:dyDescent="0.4">
      <c r="A14" s="137"/>
      <c r="B14" s="645" t="s">
        <v>37</v>
      </c>
      <c r="C14" s="646"/>
      <c r="D14" s="646"/>
      <c r="E14" s="646"/>
      <c r="F14" s="646"/>
      <c r="G14" s="646"/>
      <c r="H14" s="646"/>
      <c r="I14" s="646"/>
      <c r="J14" s="646"/>
      <c r="K14" s="646"/>
      <c r="L14" s="646"/>
      <c r="M14" s="646"/>
      <c r="N14" s="646"/>
      <c r="O14" s="646"/>
      <c r="P14" s="646"/>
      <c r="Q14" s="646"/>
      <c r="R14" s="646"/>
      <c r="S14" s="646"/>
      <c r="T14" s="646"/>
      <c r="U14" s="646"/>
      <c r="V14" s="647"/>
    </row>
    <row r="15" spans="1:22" ht="16" hidden="1" thickBot="1" x14ac:dyDescent="0.4">
      <c r="A15" s="137"/>
      <c r="B15" s="681">
        <v>1</v>
      </c>
      <c r="C15" s="615" t="s">
        <v>120</v>
      </c>
      <c r="D15" s="613" t="s">
        <v>121</v>
      </c>
      <c r="E15" s="614"/>
      <c r="F15" s="614"/>
      <c r="G15" s="615"/>
      <c r="H15" s="141"/>
      <c r="I15" s="141"/>
      <c r="J15" s="141"/>
      <c r="K15" s="141"/>
      <c r="L15" s="141"/>
      <c r="M15" s="141"/>
      <c r="N15" s="141"/>
      <c r="O15" s="141"/>
      <c r="P15" s="142"/>
      <c r="Q15" s="142"/>
      <c r="R15" s="142"/>
      <c r="S15" s="142"/>
      <c r="T15" s="142"/>
      <c r="U15" s="143"/>
      <c r="V15" s="144"/>
    </row>
    <row r="16" spans="1:22" ht="16" hidden="1" thickBot="1" x14ac:dyDescent="0.4">
      <c r="A16" s="137"/>
      <c r="B16" s="682"/>
      <c r="C16" s="652"/>
      <c r="D16" s="671"/>
      <c r="E16" s="651"/>
      <c r="F16" s="651"/>
      <c r="G16" s="652"/>
      <c r="H16" s="145"/>
      <c r="I16" s="145"/>
      <c r="J16" s="145"/>
      <c r="K16" s="145"/>
      <c r="L16" s="145"/>
      <c r="M16" s="145"/>
      <c r="N16" s="137"/>
      <c r="O16" s="146"/>
      <c r="P16" s="147"/>
      <c r="Q16" s="147"/>
      <c r="R16" s="147"/>
      <c r="S16" s="147"/>
      <c r="T16" s="147"/>
      <c r="U16" s="148"/>
      <c r="V16" s="149"/>
    </row>
    <row r="17" spans="1:22" ht="61.5" hidden="1" customHeight="1" x14ac:dyDescent="0.35">
      <c r="A17" s="137"/>
      <c r="B17" s="682"/>
      <c r="C17" s="652"/>
      <c r="D17" s="671"/>
      <c r="E17" s="651"/>
      <c r="F17" s="651"/>
      <c r="G17" s="652"/>
      <c r="H17" s="147"/>
      <c r="I17" s="147">
        <v>8.5</v>
      </c>
      <c r="J17" s="150" t="s">
        <v>39</v>
      </c>
      <c r="K17" s="147"/>
      <c r="L17" s="151">
        <v>8</v>
      </c>
      <c r="M17" s="147"/>
      <c r="N17" s="137"/>
      <c r="O17" s="146"/>
      <c r="P17" s="147"/>
      <c r="Q17" s="147"/>
      <c r="R17" s="147"/>
      <c r="S17" s="147"/>
      <c r="T17" s="147"/>
      <c r="U17" s="152" t="s">
        <v>40</v>
      </c>
      <c r="V17" s="149">
        <f>I17*L17*0</f>
        <v>0</v>
      </c>
    </row>
    <row r="18" spans="1:22" ht="16" hidden="1" thickBot="1" x14ac:dyDescent="0.4">
      <c r="A18" s="137"/>
      <c r="B18" s="683"/>
      <c r="C18" s="652"/>
      <c r="D18" s="153">
        <v>8</v>
      </c>
      <c r="E18" s="685" t="s">
        <v>122</v>
      </c>
      <c r="F18" s="686"/>
      <c r="G18" s="687"/>
      <c r="H18" s="147"/>
      <c r="I18" s="147"/>
      <c r="J18" s="137"/>
      <c r="K18" s="147"/>
      <c r="L18" s="147"/>
      <c r="M18" s="147"/>
      <c r="N18" s="137"/>
      <c r="O18" s="146"/>
      <c r="P18" s="147"/>
      <c r="Q18" s="147"/>
      <c r="R18" s="147"/>
      <c r="S18" s="147"/>
      <c r="T18" s="147"/>
      <c r="U18" s="152"/>
      <c r="V18" s="149"/>
    </row>
    <row r="19" spans="1:22" ht="16" hidden="1" thickBot="1" x14ac:dyDescent="0.4">
      <c r="A19" s="137"/>
      <c r="B19" s="684"/>
      <c r="C19" s="660"/>
      <c r="D19" s="154">
        <v>8</v>
      </c>
      <c r="E19" s="155" t="s">
        <v>38</v>
      </c>
      <c r="F19" s="156"/>
      <c r="G19" s="156"/>
      <c r="H19" s="156"/>
      <c r="I19" s="156"/>
      <c r="J19" s="156"/>
      <c r="K19" s="156"/>
      <c r="L19" s="156"/>
      <c r="M19" s="156"/>
      <c r="N19" s="156"/>
      <c r="O19" s="156"/>
      <c r="P19" s="157"/>
      <c r="Q19" s="157"/>
      <c r="R19" s="157"/>
      <c r="S19" s="157"/>
      <c r="T19" s="157"/>
      <c r="U19" s="158"/>
      <c r="V19" s="159"/>
    </row>
    <row r="20" spans="1:22" ht="48.75" customHeight="1" x14ac:dyDescent="0.35">
      <c r="A20" s="137"/>
      <c r="B20" s="620">
        <v>1</v>
      </c>
      <c r="C20" s="160" t="s">
        <v>123</v>
      </c>
      <c r="D20" s="613" t="s">
        <v>124</v>
      </c>
      <c r="E20" s="614"/>
      <c r="F20" s="614"/>
      <c r="G20" s="615"/>
      <c r="H20" s="147"/>
      <c r="I20" s="147"/>
      <c r="J20" s="147"/>
      <c r="K20" s="147"/>
      <c r="L20" s="147"/>
      <c r="M20" s="147"/>
      <c r="N20" s="137"/>
      <c r="O20" s="146"/>
      <c r="P20" s="147"/>
      <c r="Q20" s="147"/>
      <c r="R20" s="147"/>
      <c r="S20" s="147"/>
      <c r="T20" s="147"/>
      <c r="U20" s="148"/>
      <c r="V20" s="149"/>
    </row>
    <row r="21" spans="1:22" ht="15.75" customHeight="1" x14ac:dyDescent="0.35">
      <c r="A21" s="137"/>
      <c r="B21" s="620"/>
      <c r="C21" s="161" t="s">
        <v>180</v>
      </c>
      <c r="D21" s="671"/>
      <c r="E21" s="651"/>
      <c r="F21" s="651"/>
      <c r="G21" s="652"/>
      <c r="H21" s="147"/>
      <c r="I21" s="147">
        <v>38.4</v>
      </c>
      <c r="J21" s="147" t="s">
        <v>39</v>
      </c>
      <c r="K21" s="147"/>
      <c r="L21" s="162">
        <f>8*7</f>
        <v>56</v>
      </c>
      <c r="M21" s="147"/>
      <c r="N21" s="137"/>
      <c r="O21" s="146"/>
      <c r="P21" s="147"/>
      <c r="Q21" s="147"/>
      <c r="R21" s="147"/>
      <c r="S21" s="147"/>
      <c r="T21" s="147"/>
      <c r="U21" s="152" t="s">
        <v>40</v>
      </c>
      <c r="V21" s="149">
        <f>L21*I21</f>
        <v>2150.4</v>
      </c>
    </row>
    <row r="22" spans="1:22" ht="15.5" x14ac:dyDescent="0.35">
      <c r="A22" s="137"/>
      <c r="B22" s="620"/>
      <c r="C22" s="160"/>
      <c r="D22" s="671"/>
      <c r="E22" s="651"/>
      <c r="F22" s="651"/>
      <c r="G22" s="652"/>
      <c r="H22" s="147"/>
      <c r="I22" s="147"/>
      <c r="J22" s="147"/>
      <c r="K22" s="147"/>
      <c r="L22" s="163"/>
      <c r="M22" s="147"/>
      <c r="N22" s="137"/>
      <c r="O22" s="146"/>
      <c r="P22" s="147"/>
      <c r="Q22" s="147"/>
      <c r="R22" s="147"/>
      <c r="S22" s="147"/>
      <c r="T22" s="147"/>
      <c r="U22" s="148"/>
      <c r="V22" s="164"/>
    </row>
    <row r="23" spans="1:22" ht="16" thickBot="1" x14ac:dyDescent="0.4">
      <c r="A23" s="137"/>
      <c r="B23" s="621"/>
      <c r="C23" s="165"/>
      <c r="D23" s="672"/>
      <c r="E23" s="659"/>
      <c r="F23" s="659"/>
      <c r="G23" s="660"/>
      <c r="H23" s="673" t="s">
        <v>125</v>
      </c>
      <c r="I23" s="674"/>
      <c r="J23" s="674"/>
      <c r="K23" s="674"/>
      <c r="L23" s="674"/>
      <c r="M23" s="674"/>
      <c r="N23" s="674"/>
      <c r="O23" s="674"/>
      <c r="P23" s="674"/>
      <c r="Q23" s="674"/>
      <c r="R23" s="674"/>
      <c r="S23" s="674"/>
      <c r="T23" s="674"/>
      <c r="U23" s="675"/>
      <c r="V23" s="166">
        <f>V21</f>
        <v>2150.4</v>
      </c>
    </row>
    <row r="24" spans="1:22" ht="15.5" x14ac:dyDescent="0.35">
      <c r="A24" s="137"/>
      <c r="B24" s="167"/>
      <c r="C24" s="632" t="s">
        <v>181</v>
      </c>
      <c r="D24" s="614" t="s">
        <v>126</v>
      </c>
      <c r="E24" s="614"/>
      <c r="F24" s="614"/>
      <c r="G24" s="615"/>
      <c r="H24" s="142"/>
      <c r="I24" s="142"/>
      <c r="J24" s="142"/>
      <c r="K24" s="142"/>
      <c r="L24" s="142"/>
      <c r="M24" s="142"/>
      <c r="N24" s="168"/>
      <c r="O24" s="141"/>
      <c r="P24" s="142"/>
      <c r="Q24" s="142"/>
      <c r="R24" s="142"/>
      <c r="S24" s="142"/>
      <c r="T24" s="142"/>
      <c r="U24" s="144"/>
      <c r="V24" s="169"/>
    </row>
    <row r="25" spans="1:22" ht="15.5" x14ac:dyDescent="0.35">
      <c r="A25" s="137"/>
      <c r="B25" s="170">
        <v>2</v>
      </c>
      <c r="C25" s="648"/>
      <c r="D25" s="651"/>
      <c r="E25" s="651"/>
      <c r="F25" s="651"/>
      <c r="G25" s="652"/>
      <c r="H25" s="147"/>
      <c r="I25" s="147"/>
      <c r="J25" s="147"/>
      <c r="K25" s="147"/>
      <c r="L25" s="147"/>
      <c r="M25" s="147"/>
      <c r="N25" s="137"/>
      <c r="O25" s="146"/>
      <c r="P25" s="147"/>
      <c r="Q25" s="147"/>
      <c r="R25" s="147"/>
      <c r="S25" s="147"/>
      <c r="T25" s="147"/>
      <c r="U25" s="148"/>
      <c r="V25" s="149"/>
    </row>
    <row r="26" spans="1:22" ht="15.5" x14ac:dyDescent="0.35">
      <c r="A26" s="137"/>
      <c r="B26" s="170"/>
      <c r="C26" s="648"/>
      <c r="D26" s="651"/>
      <c r="E26" s="651"/>
      <c r="F26" s="651"/>
      <c r="G26" s="652"/>
      <c r="H26" s="147"/>
      <c r="I26" s="147">
        <v>22.9</v>
      </c>
      <c r="J26" s="137" t="s">
        <v>39</v>
      </c>
      <c r="K26" s="147"/>
      <c r="L26" s="162">
        <f>8*3</f>
        <v>24</v>
      </c>
      <c r="M26" s="147"/>
      <c r="N26" s="137"/>
      <c r="O26" s="146"/>
      <c r="P26" s="147"/>
      <c r="Q26" s="147"/>
      <c r="R26" s="147"/>
      <c r="S26" s="147"/>
      <c r="T26" s="147"/>
      <c r="U26" s="148" t="s">
        <v>40</v>
      </c>
      <c r="V26" s="149">
        <f>L26*I26</f>
        <v>549.59999999999991</v>
      </c>
    </row>
    <row r="27" spans="1:22" ht="15.5" x14ac:dyDescent="0.35">
      <c r="A27" s="137"/>
      <c r="B27" s="170"/>
      <c r="C27" s="648"/>
      <c r="D27" s="651"/>
      <c r="E27" s="651"/>
      <c r="F27" s="651"/>
      <c r="G27" s="652"/>
      <c r="H27" s="147"/>
      <c r="I27" s="147"/>
      <c r="J27" s="147"/>
      <c r="K27" s="147"/>
      <c r="L27" s="171"/>
      <c r="M27" s="147"/>
      <c r="N27" s="137"/>
      <c r="O27" s="146"/>
      <c r="P27" s="147"/>
      <c r="Q27" s="147"/>
      <c r="R27" s="147"/>
      <c r="S27" s="147"/>
      <c r="T27" s="147"/>
      <c r="U27" s="148"/>
      <c r="V27" s="149"/>
    </row>
    <row r="28" spans="1:22" ht="15.5" x14ac:dyDescent="0.35">
      <c r="A28" s="137"/>
      <c r="B28" s="170"/>
      <c r="C28" s="648"/>
      <c r="D28" s="651"/>
      <c r="E28" s="651"/>
      <c r="F28" s="651"/>
      <c r="G28" s="652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147"/>
      <c r="U28" s="172"/>
      <c r="V28" s="148"/>
    </row>
    <row r="29" spans="1:22" ht="16" thickBot="1" x14ac:dyDescent="0.4">
      <c r="A29" s="137"/>
      <c r="B29" s="173"/>
      <c r="C29" s="658"/>
      <c r="D29" s="659"/>
      <c r="E29" s="659"/>
      <c r="F29" s="659"/>
      <c r="G29" s="660"/>
      <c r="H29" s="630"/>
      <c r="I29" s="630"/>
      <c r="J29" s="630"/>
      <c r="K29" s="630"/>
      <c r="L29" s="630"/>
      <c r="M29" s="630"/>
      <c r="N29" s="630"/>
      <c r="O29" s="630"/>
      <c r="P29" s="630"/>
      <c r="Q29" s="630"/>
      <c r="R29" s="630"/>
      <c r="S29" s="630"/>
      <c r="T29" s="630"/>
      <c r="U29" s="631"/>
      <c r="V29" s="158"/>
    </row>
    <row r="30" spans="1:22" ht="15.5" x14ac:dyDescent="0.35">
      <c r="A30" s="137"/>
      <c r="B30" s="170"/>
      <c r="C30" s="648" t="s">
        <v>182</v>
      </c>
      <c r="D30" s="651" t="s">
        <v>127</v>
      </c>
      <c r="E30" s="651"/>
      <c r="F30" s="651"/>
      <c r="G30" s="652"/>
      <c r="H30" s="147"/>
      <c r="I30" s="147"/>
      <c r="J30" s="147"/>
      <c r="K30" s="147"/>
      <c r="L30" s="147"/>
      <c r="M30" s="147"/>
      <c r="N30" s="137"/>
      <c r="O30" s="146"/>
      <c r="P30" s="147"/>
      <c r="Q30" s="147"/>
      <c r="R30" s="147"/>
      <c r="S30" s="147"/>
      <c r="T30" s="147"/>
      <c r="U30" s="148"/>
      <c r="V30" s="149"/>
    </row>
    <row r="31" spans="1:22" ht="15.5" x14ac:dyDescent="0.35">
      <c r="A31" s="137"/>
      <c r="B31" s="170"/>
      <c r="C31" s="648"/>
      <c r="D31" s="651"/>
      <c r="E31" s="651"/>
      <c r="F31" s="651"/>
      <c r="G31" s="652"/>
      <c r="H31" s="147"/>
      <c r="I31" s="147"/>
      <c r="J31" s="147"/>
      <c r="K31" s="147"/>
      <c r="L31" s="147"/>
      <c r="M31" s="147"/>
      <c r="N31" s="137"/>
      <c r="O31" s="146"/>
      <c r="P31" s="147"/>
      <c r="Q31" s="147"/>
      <c r="R31" s="147"/>
      <c r="S31" s="147"/>
      <c r="T31" s="147"/>
      <c r="U31" s="148"/>
      <c r="V31" s="149"/>
    </row>
    <row r="32" spans="1:22" ht="15.5" x14ac:dyDescent="0.35">
      <c r="A32" s="137"/>
      <c r="B32" s="170">
        <v>4</v>
      </c>
      <c r="C32" s="648"/>
      <c r="D32" s="651"/>
      <c r="E32" s="651"/>
      <c r="F32" s="651"/>
      <c r="G32" s="652"/>
      <c r="H32" s="147"/>
      <c r="I32" s="147">
        <v>1.6</v>
      </c>
      <c r="J32" s="137" t="s">
        <v>39</v>
      </c>
      <c r="K32" s="147"/>
      <c r="L32" s="162">
        <f>L21</f>
        <v>56</v>
      </c>
      <c r="M32" s="147"/>
      <c r="N32" s="137"/>
      <c r="O32" s="146"/>
      <c r="P32" s="147"/>
      <c r="Q32" s="147"/>
      <c r="R32" s="147"/>
      <c r="S32" s="147"/>
      <c r="T32" s="147"/>
      <c r="U32" s="148" t="s">
        <v>40</v>
      </c>
      <c r="V32" s="149">
        <f>L32*I32</f>
        <v>89.600000000000009</v>
      </c>
    </row>
    <row r="33" spans="1:25" ht="15.5" x14ac:dyDescent="0.35">
      <c r="A33" s="137"/>
      <c r="B33" s="170"/>
      <c r="C33" s="648"/>
      <c r="D33" s="651"/>
      <c r="E33" s="651"/>
      <c r="F33" s="651"/>
      <c r="G33" s="652"/>
      <c r="H33" s="147"/>
      <c r="I33" s="147"/>
      <c r="J33" s="147"/>
      <c r="K33" s="147"/>
      <c r="L33" s="147"/>
      <c r="M33" s="147"/>
      <c r="N33" s="137"/>
      <c r="O33" s="146"/>
      <c r="P33" s="147"/>
      <c r="Q33" s="147"/>
      <c r="R33" s="147"/>
      <c r="S33" s="147"/>
      <c r="T33" s="147"/>
      <c r="U33" s="148"/>
      <c r="V33" s="149"/>
    </row>
    <row r="34" spans="1:25" ht="16" thickBot="1" x14ac:dyDescent="0.4">
      <c r="A34" s="137"/>
      <c r="B34" s="173"/>
      <c r="C34" s="658"/>
      <c r="D34" s="659"/>
      <c r="E34" s="659"/>
      <c r="F34" s="659"/>
      <c r="G34" s="660"/>
      <c r="H34" s="157"/>
      <c r="I34" s="157"/>
      <c r="J34" s="157"/>
      <c r="K34" s="157"/>
      <c r="L34" s="157"/>
      <c r="M34" s="157"/>
      <c r="N34" s="174"/>
      <c r="O34" s="156"/>
      <c r="P34" s="157"/>
      <c r="Q34" s="157"/>
      <c r="R34" s="157"/>
      <c r="S34" s="157"/>
      <c r="T34" s="157"/>
      <c r="U34" s="158"/>
      <c r="V34" s="175"/>
    </row>
    <row r="35" spans="1:25" ht="16" thickBot="1" x14ac:dyDescent="0.4">
      <c r="A35" s="137"/>
      <c r="B35" s="661" t="s">
        <v>42</v>
      </c>
      <c r="C35" s="610"/>
      <c r="D35" s="610"/>
      <c r="E35" s="610"/>
      <c r="F35" s="610"/>
      <c r="G35" s="610"/>
      <c r="H35" s="610"/>
      <c r="I35" s="610"/>
      <c r="J35" s="610"/>
      <c r="K35" s="610"/>
      <c r="L35" s="610"/>
      <c r="M35" s="610"/>
      <c r="N35" s="610"/>
      <c r="O35" s="610"/>
      <c r="P35" s="610"/>
      <c r="Q35" s="610"/>
      <c r="R35" s="610"/>
      <c r="S35" s="610"/>
      <c r="T35" s="610"/>
      <c r="U35" s="611"/>
      <c r="V35" s="176">
        <f>V23+V26+V32</f>
        <v>2789.6</v>
      </c>
      <c r="X35" s="1"/>
    </row>
    <row r="36" spans="1:25" ht="16" thickBot="1" x14ac:dyDescent="0.4">
      <c r="A36" s="137"/>
      <c r="B36" s="645" t="s">
        <v>43</v>
      </c>
      <c r="C36" s="646"/>
      <c r="D36" s="646"/>
      <c r="E36" s="646"/>
      <c r="F36" s="646"/>
      <c r="G36" s="646"/>
      <c r="H36" s="646"/>
      <c r="I36" s="646"/>
      <c r="J36" s="646"/>
      <c r="K36" s="646"/>
      <c r="L36" s="646"/>
      <c r="M36" s="646"/>
      <c r="N36" s="646"/>
      <c r="O36" s="646"/>
      <c r="P36" s="646"/>
      <c r="Q36" s="646"/>
      <c r="R36" s="646"/>
      <c r="S36" s="646"/>
      <c r="T36" s="646"/>
      <c r="U36" s="646"/>
      <c r="V36" s="647"/>
    </row>
    <row r="37" spans="1:25" ht="15.75" customHeight="1" x14ac:dyDescent="0.35">
      <c r="A37" s="137"/>
      <c r="B37" s="167"/>
      <c r="C37" s="662" t="s">
        <v>97</v>
      </c>
      <c r="D37" s="614" t="s">
        <v>98</v>
      </c>
      <c r="E37" s="614"/>
      <c r="F37" s="614"/>
      <c r="G37" s="615"/>
      <c r="H37" s="142"/>
      <c r="I37" s="142"/>
      <c r="J37" s="142"/>
      <c r="K37" s="142"/>
      <c r="L37" s="142"/>
      <c r="M37" s="142"/>
      <c r="N37" s="168"/>
      <c r="O37" s="141"/>
      <c r="P37" s="142"/>
      <c r="Q37" s="142"/>
      <c r="R37" s="142"/>
      <c r="S37" s="142"/>
      <c r="T37" s="142"/>
      <c r="U37" s="144"/>
      <c r="V37" s="169"/>
    </row>
    <row r="38" spans="1:25" ht="15.5" x14ac:dyDescent="0.35">
      <c r="A38" s="137"/>
      <c r="B38" s="170"/>
      <c r="C38" s="663"/>
      <c r="D38" s="651"/>
      <c r="E38" s="651"/>
      <c r="F38" s="651"/>
      <c r="G38" s="652"/>
      <c r="H38" s="147"/>
      <c r="I38" s="147"/>
      <c r="J38" s="147"/>
      <c r="K38" s="147"/>
      <c r="L38" s="147"/>
      <c r="M38" s="147"/>
      <c r="N38" s="137"/>
      <c r="O38" s="146"/>
      <c r="P38" s="147"/>
      <c r="Q38" s="147"/>
      <c r="R38" s="147"/>
      <c r="S38" s="147"/>
      <c r="T38" s="147"/>
      <c r="U38" s="148"/>
      <c r="V38" s="149"/>
    </row>
    <row r="39" spans="1:25" ht="15.5" x14ac:dyDescent="0.35">
      <c r="A39" s="137"/>
      <c r="B39" s="170">
        <v>5</v>
      </c>
      <c r="C39" s="663"/>
      <c r="D39" s="651"/>
      <c r="E39" s="651"/>
      <c r="F39" s="651"/>
      <c r="G39" s="652"/>
      <c r="H39" s="147"/>
      <c r="I39" s="177">
        <f>V35</f>
        <v>2789.6</v>
      </c>
      <c r="J39" s="137" t="s">
        <v>39</v>
      </c>
      <c r="K39" s="147"/>
      <c r="L39" s="178">
        <v>8.7499999999999994E-2</v>
      </c>
      <c r="M39" s="147"/>
      <c r="N39" s="179"/>
      <c r="O39" s="146"/>
      <c r="P39" s="147"/>
      <c r="Q39" s="147"/>
      <c r="R39" s="147"/>
      <c r="S39" s="147"/>
      <c r="T39" s="147"/>
      <c r="U39" s="148" t="s">
        <v>40</v>
      </c>
      <c r="V39" s="149">
        <f>V35*L39</f>
        <v>244.08999999999997</v>
      </c>
    </row>
    <row r="40" spans="1:25" ht="15.5" x14ac:dyDescent="0.35">
      <c r="A40" s="137"/>
      <c r="B40" s="170"/>
      <c r="C40" s="663"/>
      <c r="D40" s="651"/>
      <c r="E40" s="651"/>
      <c r="F40" s="651"/>
      <c r="G40" s="652"/>
      <c r="H40" s="147"/>
      <c r="I40" s="147"/>
      <c r="J40" s="137"/>
      <c r="K40" s="147"/>
      <c r="L40" s="179"/>
      <c r="M40" s="147"/>
      <c r="N40" s="137"/>
      <c r="O40" s="146"/>
      <c r="P40" s="147"/>
      <c r="Q40" s="147"/>
      <c r="R40" s="147"/>
      <c r="S40" s="147"/>
      <c r="T40" s="147"/>
      <c r="U40" s="148"/>
      <c r="V40" s="149"/>
      <c r="X40" s="1"/>
    </row>
    <row r="41" spans="1:25" ht="16" thickBot="1" x14ac:dyDescent="0.4">
      <c r="A41" s="137"/>
      <c r="B41" s="173"/>
      <c r="C41" s="664"/>
      <c r="D41" s="659"/>
      <c r="E41" s="659"/>
      <c r="F41" s="659"/>
      <c r="G41" s="660"/>
      <c r="H41" s="157"/>
      <c r="I41" s="157"/>
      <c r="J41" s="157"/>
      <c r="K41" s="157"/>
      <c r="L41" s="157"/>
      <c r="M41" s="157"/>
      <c r="N41" s="174"/>
      <c r="O41" s="156"/>
      <c r="P41" s="157"/>
      <c r="Q41" s="157"/>
      <c r="R41" s="157"/>
      <c r="S41" s="157"/>
      <c r="T41" s="157"/>
      <c r="U41" s="158"/>
      <c r="V41" s="175"/>
    </row>
    <row r="42" spans="1:25" ht="15" customHeight="1" x14ac:dyDescent="0.35">
      <c r="A42" s="137"/>
      <c r="B42" s="167"/>
      <c r="C42" s="619" t="s">
        <v>44</v>
      </c>
      <c r="D42" s="614" t="s">
        <v>45</v>
      </c>
      <c r="E42" s="614"/>
      <c r="F42" s="614"/>
      <c r="G42" s="615"/>
      <c r="H42" s="142"/>
      <c r="I42" s="142"/>
      <c r="J42" s="142"/>
      <c r="K42" s="142"/>
      <c r="L42" s="142"/>
      <c r="M42" s="142"/>
      <c r="N42" s="168"/>
      <c r="O42" s="141"/>
      <c r="P42" s="142"/>
      <c r="Q42" s="142"/>
      <c r="R42" s="142"/>
      <c r="S42" s="142"/>
      <c r="T42" s="142"/>
      <c r="U42" s="144"/>
      <c r="V42" s="169"/>
    </row>
    <row r="43" spans="1:25" ht="17.25" customHeight="1" x14ac:dyDescent="0.35">
      <c r="A43" s="137"/>
      <c r="B43" s="170"/>
      <c r="C43" s="620"/>
      <c r="D43" s="651"/>
      <c r="E43" s="651"/>
      <c r="F43" s="651"/>
      <c r="G43" s="652"/>
      <c r="H43" s="147"/>
      <c r="I43" s="147"/>
      <c r="J43" s="147"/>
      <c r="K43" s="147"/>
      <c r="L43" s="147"/>
      <c r="M43" s="147"/>
      <c r="N43" s="137"/>
      <c r="O43" s="146"/>
      <c r="P43" s="147"/>
      <c r="Q43" s="147"/>
      <c r="R43" s="147"/>
      <c r="S43" s="147"/>
      <c r="T43" s="147"/>
      <c r="U43" s="148"/>
      <c r="V43" s="149"/>
    </row>
    <row r="44" spans="1:25" ht="18" customHeight="1" x14ac:dyDescent="0.35">
      <c r="A44" s="137"/>
      <c r="B44" s="170">
        <v>6</v>
      </c>
      <c r="C44" s="620"/>
      <c r="D44" s="651"/>
      <c r="E44" s="651"/>
      <c r="F44" s="651"/>
      <c r="G44" s="652"/>
      <c r="H44" s="147" t="s">
        <v>46</v>
      </c>
      <c r="I44" s="177">
        <f>V35</f>
        <v>2789.6</v>
      </c>
      <c r="J44" s="137" t="s">
        <v>25</v>
      </c>
      <c r="K44" s="147"/>
      <c r="L44" s="180">
        <f>V39</f>
        <v>244.08999999999997</v>
      </c>
      <c r="M44" s="147" t="s">
        <v>47</v>
      </c>
      <c r="N44" s="179">
        <v>0.06</v>
      </c>
      <c r="O44" s="146"/>
      <c r="P44" s="147"/>
      <c r="Q44" s="147"/>
      <c r="R44" s="147"/>
      <c r="S44" s="147"/>
      <c r="T44" s="147"/>
      <c r="U44" s="148" t="s">
        <v>40</v>
      </c>
      <c r="V44" s="149">
        <f>(V35+L44)*N44</f>
        <v>182.0214</v>
      </c>
      <c r="X44" s="1"/>
      <c r="Y44" s="1"/>
    </row>
    <row r="45" spans="1:25" ht="18.75" customHeight="1" x14ac:dyDescent="0.35">
      <c r="A45" s="137"/>
      <c r="B45" s="170"/>
      <c r="C45" s="620"/>
      <c r="D45" s="651"/>
      <c r="E45" s="651"/>
      <c r="F45" s="651"/>
      <c r="G45" s="652"/>
      <c r="H45" s="147"/>
      <c r="I45" s="147"/>
      <c r="J45" s="147"/>
      <c r="K45" s="147"/>
      <c r="L45" s="147"/>
      <c r="M45" s="147"/>
      <c r="N45" s="137"/>
      <c r="O45" s="146"/>
      <c r="P45" s="147"/>
      <c r="Q45" s="147"/>
      <c r="R45" s="147"/>
      <c r="S45" s="147"/>
      <c r="T45" s="147"/>
      <c r="U45" s="148"/>
      <c r="V45" s="149"/>
    </row>
    <row r="46" spans="1:25" ht="29.25" customHeight="1" x14ac:dyDescent="0.35">
      <c r="A46" s="137"/>
      <c r="B46" s="170"/>
      <c r="C46" s="620"/>
      <c r="D46" s="651"/>
      <c r="E46" s="651"/>
      <c r="F46" s="651"/>
      <c r="G46" s="652"/>
      <c r="H46" s="147"/>
      <c r="I46" s="147"/>
      <c r="J46" s="147"/>
      <c r="K46" s="147"/>
      <c r="L46" s="147"/>
      <c r="M46" s="147"/>
      <c r="N46" s="147"/>
      <c r="O46" s="147"/>
      <c r="P46" s="147"/>
      <c r="Q46" s="147"/>
      <c r="R46" s="147"/>
      <c r="S46" s="147"/>
      <c r="T46" s="147"/>
      <c r="U46" s="172"/>
      <c r="V46" s="148"/>
    </row>
    <row r="47" spans="1:25" ht="2.25" customHeight="1" thickBot="1" x14ac:dyDescent="0.4">
      <c r="A47" s="137"/>
      <c r="B47" s="173"/>
      <c r="C47" s="621"/>
      <c r="D47" s="659"/>
      <c r="E47" s="659"/>
      <c r="F47" s="659"/>
      <c r="G47" s="660"/>
      <c r="H47" s="630"/>
      <c r="I47" s="630"/>
      <c r="J47" s="630"/>
      <c r="K47" s="630"/>
      <c r="L47" s="630"/>
      <c r="M47" s="630"/>
      <c r="N47" s="630"/>
      <c r="O47" s="630"/>
      <c r="P47" s="630"/>
      <c r="Q47" s="630"/>
      <c r="R47" s="630"/>
      <c r="S47" s="630"/>
      <c r="T47" s="630"/>
      <c r="U47" s="631"/>
      <c r="V47" s="158"/>
    </row>
    <row r="48" spans="1:25" ht="16.5" customHeight="1" thickBot="1" x14ac:dyDescent="0.4">
      <c r="A48" s="137"/>
      <c r="B48" s="665" t="s">
        <v>128</v>
      </c>
      <c r="C48" s="666"/>
      <c r="D48" s="666"/>
      <c r="E48" s="666"/>
      <c r="F48" s="666"/>
      <c r="G48" s="666"/>
      <c r="H48" s="666"/>
      <c r="I48" s="666"/>
      <c r="J48" s="666"/>
      <c r="K48" s="666"/>
      <c r="L48" s="666"/>
      <c r="M48" s="666"/>
      <c r="N48" s="666"/>
      <c r="O48" s="666"/>
      <c r="P48" s="666"/>
      <c r="Q48" s="666"/>
      <c r="R48" s="666"/>
      <c r="S48" s="666"/>
      <c r="T48" s="666"/>
      <c r="U48" s="667"/>
      <c r="V48" s="181">
        <f>V39+V44</f>
        <v>426.1114</v>
      </c>
    </row>
    <row r="49" spans="1:22" ht="16.5" customHeight="1" thickBot="1" x14ac:dyDescent="0.4">
      <c r="A49" s="137"/>
      <c r="B49" s="668" t="s">
        <v>129</v>
      </c>
      <c r="C49" s="669"/>
      <c r="D49" s="669"/>
      <c r="E49" s="669"/>
      <c r="F49" s="669"/>
      <c r="G49" s="669"/>
      <c r="H49" s="669"/>
      <c r="I49" s="669"/>
      <c r="J49" s="669"/>
      <c r="K49" s="669"/>
      <c r="L49" s="669"/>
      <c r="M49" s="669"/>
      <c r="N49" s="669"/>
      <c r="O49" s="669"/>
      <c r="P49" s="669"/>
      <c r="Q49" s="669"/>
      <c r="R49" s="669"/>
      <c r="S49" s="669"/>
      <c r="T49" s="669"/>
      <c r="U49" s="669"/>
      <c r="V49" s="670"/>
    </row>
    <row r="50" spans="1:22" ht="15.5" x14ac:dyDescent="0.35">
      <c r="A50" s="137"/>
      <c r="B50" s="167"/>
      <c r="C50" s="632" t="s">
        <v>130</v>
      </c>
      <c r="D50" s="614" t="s">
        <v>131</v>
      </c>
      <c r="E50" s="614"/>
      <c r="F50" s="614"/>
      <c r="G50" s="615"/>
      <c r="H50" s="142"/>
      <c r="I50" s="142"/>
      <c r="J50" s="142"/>
      <c r="K50" s="142"/>
      <c r="L50" s="142"/>
      <c r="M50" s="142"/>
      <c r="N50" s="168"/>
      <c r="O50" s="141"/>
      <c r="P50" s="142"/>
      <c r="Q50" s="142"/>
      <c r="R50" s="142"/>
      <c r="S50" s="142"/>
      <c r="T50" s="142"/>
      <c r="U50" s="144"/>
      <c r="V50" s="169"/>
    </row>
    <row r="51" spans="1:22" ht="15.5" x14ac:dyDescent="0.35">
      <c r="A51" s="137"/>
      <c r="B51" s="170"/>
      <c r="C51" s="648"/>
      <c r="D51" s="651"/>
      <c r="E51" s="651"/>
      <c r="F51" s="651"/>
      <c r="G51" s="652"/>
      <c r="H51" s="147"/>
      <c r="I51" s="147"/>
      <c r="J51" s="147"/>
      <c r="K51" s="147"/>
      <c r="L51" s="147"/>
      <c r="M51" s="147"/>
      <c r="N51" s="137"/>
      <c r="O51" s="146"/>
      <c r="P51" s="147"/>
      <c r="Q51" s="147"/>
      <c r="R51" s="147"/>
      <c r="S51" s="147"/>
      <c r="T51" s="147"/>
      <c r="U51" s="148"/>
      <c r="V51" s="149"/>
    </row>
    <row r="52" spans="1:22" ht="15.5" x14ac:dyDescent="0.35">
      <c r="A52" s="137"/>
      <c r="B52" s="170">
        <v>7</v>
      </c>
      <c r="C52" s="648"/>
      <c r="D52" s="651"/>
      <c r="E52" s="651"/>
      <c r="F52" s="651"/>
      <c r="G52" s="652"/>
      <c r="H52" s="147"/>
      <c r="I52" s="147">
        <v>147</v>
      </c>
      <c r="J52" s="137" t="s">
        <v>39</v>
      </c>
      <c r="K52" s="147"/>
      <c r="L52" s="162">
        <f>L26</f>
        <v>24</v>
      </c>
      <c r="M52" s="147"/>
      <c r="N52" s="137"/>
      <c r="O52" s="146"/>
      <c r="P52" s="147"/>
      <c r="Q52" s="147"/>
      <c r="R52" s="147"/>
      <c r="S52" s="147"/>
      <c r="T52" s="147"/>
      <c r="U52" s="148" t="s">
        <v>40</v>
      </c>
      <c r="V52" s="149">
        <f>L52*I52</f>
        <v>3528</v>
      </c>
    </row>
    <row r="53" spans="1:22" ht="15.5" x14ac:dyDescent="0.35">
      <c r="A53" s="137"/>
      <c r="B53" s="170"/>
      <c r="C53" s="648"/>
      <c r="D53" s="651"/>
      <c r="E53" s="651"/>
      <c r="F53" s="651"/>
      <c r="G53" s="652"/>
      <c r="H53" s="147"/>
      <c r="I53" s="147"/>
      <c r="J53" s="147"/>
      <c r="K53" s="147"/>
      <c r="L53" s="147"/>
      <c r="M53" s="147"/>
      <c r="N53" s="137"/>
      <c r="O53" s="146"/>
      <c r="P53" s="147"/>
      <c r="Q53" s="147"/>
      <c r="R53" s="147"/>
      <c r="S53" s="147"/>
      <c r="T53" s="147"/>
      <c r="U53" s="148"/>
      <c r="V53" s="149"/>
    </row>
    <row r="54" spans="1:22" ht="15.5" x14ac:dyDescent="0.35">
      <c r="A54" s="137"/>
      <c r="B54" s="170"/>
      <c r="C54" s="648"/>
      <c r="D54" s="651"/>
      <c r="E54" s="651"/>
      <c r="F54" s="651"/>
      <c r="G54" s="652"/>
      <c r="H54" s="147"/>
      <c r="I54" s="147"/>
      <c r="J54" s="147"/>
      <c r="K54" s="147"/>
      <c r="L54" s="147"/>
      <c r="M54" s="147"/>
      <c r="N54" s="147"/>
      <c r="O54" s="147"/>
      <c r="P54" s="147"/>
      <c r="Q54" s="147"/>
      <c r="R54" s="147"/>
      <c r="S54" s="147"/>
      <c r="T54" s="147"/>
      <c r="U54" s="172"/>
      <c r="V54" s="148"/>
    </row>
    <row r="55" spans="1:22" ht="15.5" x14ac:dyDescent="0.35">
      <c r="A55" s="137"/>
      <c r="B55" s="182"/>
      <c r="C55" s="649"/>
      <c r="D55" s="653"/>
      <c r="E55" s="653"/>
      <c r="F55" s="653"/>
      <c r="G55" s="654"/>
      <c r="H55" s="637"/>
      <c r="I55" s="637"/>
      <c r="J55" s="637"/>
      <c r="K55" s="637"/>
      <c r="L55" s="637"/>
      <c r="M55" s="637"/>
      <c r="N55" s="637"/>
      <c r="O55" s="637"/>
      <c r="P55" s="637"/>
      <c r="Q55" s="637"/>
      <c r="R55" s="637"/>
      <c r="S55" s="637"/>
      <c r="T55" s="637"/>
      <c r="U55" s="657"/>
      <c r="V55" s="183"/>
    </row>
    <row r="56" spans="1:22" ht="15.5" x14ac:dyDescent="0.35">
      <c r="A56" s="137"/>
      <c r="B56" s="184"/>
      <c r="C56" s="638" t="s">
        <v>132</v>
      </c>
      <c r="D56" s="622" t="s">
        <v>133</v>
      </c>
      <c r="E56" s="622"/>
      <c r="F56" s="622"/>
      <c r="G56" s="650"/>
      <c r="H56" s="185"/>
      <c r="I56" s="185"/>
      <c r="J56" s="185"/>
      <c r="K56" s="185"/>
      <c r="L56" s="185"/>
      <c r="M56" s="185"/>
      <c r="N56" s="186"/>
      <c r="O56" s="187"/>
      <c r="P56" s="185"/>
      <c r="Q56" s="185"/>
      <c r="R56" s="185"/>
      <c r="S56" s="185"/>
      <c r="T56" s="185"/>
      <c r="U56" s="188"/>
      <c r="V56" s="189"/>
    </row>
    <row r="57" spans="1:22" ht="15.5" x14ac:dyDescent="0.35">
      <c r="A57" s="137"/>
      <c r="B57" s="170"/>
      <c r="C57" s="648"/>
      <c r="D57" s="651"/>
      <c r="E57" s="651"/>
      <c r="F57" s="651"/>
      <c r="G57" s="652"/>
      <c r="H57" s="147"/>
      <c r="I57" s="147"/>
      <c r="J57" s="147"/>
      <c r="K57" s="147"/>
      <c r="L57" s="147"/>
      <c r="M57" s="147"/>
      <c r="N57" s="137"/>
      <c r="O57" s="146"/>
      <c r="P57" s="147"/>
      <c r="Q57" s="147"/>
      <c r="R57" s="147"/>
      <c r="S57" s="147"/>
      <c r="T57" s="147"/>
      <c r="U57" s="148"/>
      <c r="V57" s="149"/>
    </row>
    <row r="58" spans="1:22" ht="15.5" x14ac:dyDescent="0.35">
      <c r="A58" s="137"/>
      <c r="B58" s="170">
        <v>8</v>
      </c>
      <c r="C58" s="648"/>
      <c r="D58" s="651"/>
      <c r="E58" s="651"/>
      <c r="F58" s="651"/>
      <c r="G58" s="652"/>
      <c r="H58" s="147"/>
      <c r="I58" s="162">
        <v>3</v>
      </c>
      <c r="J58" s="137" t="s">
        <v>39</v>
      </c>
      <c r="K58" s="147"/>
      <c r="L58" s="147">
        <v>67.3</v>
      </c>
      <c r="M58" s="147"/>
      <c r="N58" s="137"/>
      <c r="O58" s="146"/>
      <c r="P58" s="147"/>
      <c r="Q58" s="147"/>
      <c r="R58" s="147"/>
      <c r="S58" s="147"/>
      <c r="T58" s="147"/>
      <c r="U58" s="148" t="s">
        <v>40</v>
      </c>
      <c r="V58" s="149">
        <f>L58*I58</f>
        <v>201.89999999999998</v>
      </c>
    </row>
    <row r="59" spans="1:22" ht="15.5" x14ac:dyDescent="0.35">
      <c r="A59" s="137"/>
      <c r="B59" s="170"/>
      <c r="C59" s="648"/>
      <c r="D59" s="651"/>
      <c r="E59" s="651"/>
      <c r="F59" s="651"/>
      <c r="G59" s="652"/>
      <c r="H59" s="147"/>
      <c r="I59" s="147"/>
      <c r="J59" s="147"/>
      <c r="K59" s="147"/>
      <c r="L59" s="147"/>
      <c r="M59" s="147"/>
      <c r="N59" s="137"/>
      <c r="O59" s="146"/>
      <c r="P59" s="147"/>
      <c r="Q59" s="147"/>
      <c r="R59" s="147"/>
      <c r="S59" s="147"/>
      <c r="T59" s="147"/>
      <c r="U59" s="148"/>
      <c r="V59" s="149"/>
    </row>
    <row r="60" spans="1:22" ht="9" customHeight="1" x14ac:dyDescent="0.35">
      <c r="A60" s="137"/>
      <c r="B60" s="182"/>
      <c r="C60" s="648"/>
      <c r="D60" s="651"/>
      <c r="E60" s="651"/>
      <c r="F60" s="651"/>
      <c r="G60" s="652"/>
      <c r="H60" s="190"/>
      <c r="I60" s="190"/>
      <c r="J60" s="190"/>
      <c r="K60" s="190"/>
      <c r="L60" s="190"/>
      <c r="M60" s="190"/>
      <c r="N60" s="190"/>
      <c r="O60" s="190"/>
      <c r="P60" s="190"/>
      <c r="Q60" s="190"/>
      <c r="R60" s="190"/>
      <c r="S60" s="190"/>
      <c r="T60" s="190"/>
      <c r="U60" s="191"/>
      <c r="V60" s="183"/>
    </row>
    <row r="61" spans="1:22" ht="15.5" hidden="1" x14ac:dyDescent="0.35">
      <c r="A61" s="137"/>
      <c r="B61" s="170"/>
      <c r="C61" s="649"/>
      <c r="D61" s="653"/>
      <c r="E61" s="653"/>
      <c r="F61" s="653"/>
      <c r="G61" s="654"/>
      <c r="H61" s="655"/>
      <c r="I61" s="655"/>
      <c r="J61" s="655"/>
      <c r="K61" s="655"/>
      <c r="L61" s="655"/>
      <c r="M61" s="655"/>
      <c r="N61" s="655"/>
      <c r="O61" s="655"/>
      <c r="P61" s="655"/>
      <c r="Q61" s="655"/>
      <c r="R61" s="655"/>
      <c r="S61" s="655"/>
      <c r="T61" s="655"/>
      <c r="U61" s="656"/>
      <c r="V61" s="148"/>
    </row>
    <row r="62" spans="1:22" ht="15.5" x14ac:dyDescent="0.35">
      <c r="A62" s="137"/>
      <c r="B62" s="184"/>
      <c r="C62" s="638" t="s">
        <v>134</v>
      </c>
      <c r="D62" s="622" t="s">
        <v>135</v>
      </c>
      <c r="E62" s="622"/>
      <c r="F62" s="622"/>
      <c r="G62" s="650"/>
      <c r="H62" s="185"/>
      <c r="I62" s="185"/>
      <c r="J62" s="185"/>
      <c r="K62" s="185"/>
      <c r="L62" s="185"/>
      <c r="M62" s="185"/>
      <c r="N62" s="186"/>
      <c r="O62" s="187"/>
      <c r="P62" s="185"/>
      <c r="Q62" s="185"/>
      <c r="R62" s="185"/>
      <c r="S62" s="185"/>
      <c r="T62" s="185"/>
      <c r="U62" s="188"/>
      <c r="V62" s="189"/>
    </row>
    <row r="63" spans="1:22" ht="15.5" x14ac:dyDescent="0.35">
      <c r="A63" s="137"/>
      <c r="B63" s="170"/>
      <c r="C63" s="648"/>
      <c r="D63" s="651"/>
      <c r="E63" s="651"/>
      <c r="F63" s="651"/>
      <c r="G63" s="652"/>
      <c r="H63" s="147"/>
      <c r="I63" s="147"/>
      <c r="J63" s="147"/>
      <c r="K63" s="147"/>
      <c r="L63" s="147"/>
      <c r="M63" s="147"/>
      <c r="N63" s="137"/>
      <c r="O63" s="146"/>
      <c r="P63" s="147"/>
      <c r="Q63" s="147"/>
      <c r="R63" s="147"/>
      <c r="S63" s="147"/>
      <c r="T63" s="147"/>
      <c r="U63" s="148"/>
      <c r="V63" s="149"/>
    </row>
    <row r="64" spans="1:22" ht="15.5" x14ac:dyDescent="0.35">
      <c r="A64" s="137"/>
      <c r="B64" s="170">
        <v>9</v>
      </c>
      <c r="C64" s="648"/>
      <c r="D64" s="651"/>
      <c r="E64" s="651"/>
      <c r="F64" s="651"/>
      <c r="G64" s="652"/>
      <c r="H64" s="147"/>
      <c r="I64" s="162">
        <v>6</v>
      </c>
      <c r="J64" s="137" t="s">
        <v>39</v>
      </c>
      <c r="K64" s="147"/>
      <c r="L64" s="147">
        <v>18.2</v>
      </c>
      <c r="M64" s="147"/>
      <c r="N64" s="137"/>
      <c r="O64" s="146"/>
      <c r="P64" s="147"/>
      <c r="Q64" s="147"/>
      <c r="R64" s="147"/>
      <c r="S64" s="147"/>
      <c r="T64" s="147"/>
      <c r="U64" s="148" t="s">
        <v>40</v>
      </c>
      <c r="V64" s="149">
        <f>L64*I64</f>
        <v>109.19999999999999</v>
      </c>
    </row>
    <row r="65" spans="1:25" ht="15.5" x14ac:dyDescent="0.35">
      <c r="A65" s="137"/>
      <c r="B65" s="170"/>
      <c r="C65" s="648"/>
      <c r="D65" s="651"/>
      <c r="E65" s="651"/>
      <c r="F65" s="651"/>
      <c r="G65" s="652"/>
      <c r="H65" s="147"/>
      <c r="I65" s="147"/>
      <c r="J65" s="147"/>
      <c r="K65" s="147"/>
      <c r="L65" s="147"/>
      <c r="M65" s="147"/>
      <c r="N65" s="137"/>
      <c r="O65" s="146"/>
      <c r="P65" s="147"/>
      <c r="Q65" s="147"/>
      <c r="R65" s="147"/>
      <c r="S65" s="147"/>
      <c r="T65" s="147"/>
      <c r="U65" s="148"/>
      <c r="V65" s="149"/>
    </row>
    <row r="66" spans="1:25" ht="15.5" x14ac:dyDescent="0.35">
      <c r="A66" s="137"/>
      <c r="B66" s="170"/>
      <c r="C66" s="648"/>
      <c r="D66" s="651"/>
      <c r="E66" s="651"/>
      <c r="F66" s="651"/>
      <c r="G66" s="652"/>
      <c r="H66" s="147"/>
      <c r="I66" s="147"/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72"/>
      <c r="V66" s="148"/>
    </row>
    <row r="67" spans="1:25" ht="15.5" x14ac:dyDescent="0.35">
      <c r="A67" s="137"/>
      <c r="B67" s="182"/>
      <c r="C67" s="649"/>
      <c r="D67" s="653"/>
      <c r="E67" s="653"/>
      <c r="F67" s="653"/>
      <c r="G67" s="654"/>
      <c r="H67" s="637"/>
      <c r="I67" s="637"/>
      <c r="J67" s="637"/>
      <c r="K67" s="637"/>
      <c r="L67" s="637"/>
      <c r="M67" s="637"/>
      <c r="N67" s="637"/>
      <c r="O67" s="637"/>
      <c r="P67" s="637"/>
      <c r="Q67" s="637"/>
      <c r="R67" s="637"/>
      <c r="S67" s="637"/>
      <c r="T67" s="637"/>
      <c r="U67" s="657"/>
      <c r="V67" s="183"/>
    </row>
    <row r="68" spans="1:25" ht="15.5" x14ac:dyDescent="0.35">
      <c r="A68" s="137"/>
      <c r="B68" s="184"/>
      <c r="C68" s="638" t="s">
        <v>136</v>
      </c>
      <c r="D68" s="622" t="s">
        <v>137</v>
      </c>
      <c r="E68" s="622"/>
      <c r="F68" s="622"/>
      <c r="G68" s="650"/>
      <c r="H68" s="185"/>
      <c r="I68" s="185"/>
      <c r="J68" s="185"/>
      <c r="K68" s="185"/>
      <c r="L68" s="185"/>
      <c r="M68" s="185"/>
      <c r="N68" s="186"/>
      <c r="O68" s="187"/>
      <c r="P68" s="185"/>
      <c r="Q68" s="185"/>
      <c r="R68" s="185"/>
      <c r="S68" s="185"/>
      <c r="T68" s="185"/>
      <c r="U68" s="188"/>
      <c r="V68" s="189"/>
    </row>
    <row r="69" spans="1:25" ht="15.5" x14ac:dyDescent="0.35">
      <c r="A69" s="137"/>
      <c r="B69" s="170"/>
      <c r="C69" s="648"/>
      <c r="D69" s="651"/>
      <c r="E69" s="651"/>
      <c r="F69" s="651"/>
      <c r="G69" s="652"/>
      <c r="H69" s="147"/>
      <c r="I69" s="147"/>
      <c r="J69" s="147"/>
      <c r="K69" s="147"/>
      <c r="L69" s="147"/>
      <c r="M69" s="147"/>
      <c r="N69" s="137"/>
      <c r="O69" s="146"/>
      <c r="P69" s="147"/>
      <c r="Q69" s="147"/>
      <c r="R69" s="147"/>
      <c r="S69" s="147"/>
      <c r="T69" s="147"/>
      <c r="U69" s="148"/>
      <c r="V69" s="149"/>
    </row>
    <row r="70" spans="1:25" ht="15.5" x14ac:dyDescent="0.35">
      <c r="A70" s="137"/>
      <c r="B70" s="170">
        <v>10</v>
      </c>
      <c r="C70" s="648"/>
      <c r="D70" s="651"/>
      <c r="E70" s="651"/>
      <c r="F70" s="651"/>
      <c r="G70" s="652"/>
      <c r="H70" s="147"/>
      <c r="I70" s="162">
        <v>3</v>
      </c>
      <c r="J70" s="137" t="s">
        <v>39</v>
      </c>
      <c r="K70" s="147"/>
      <c r="L70" s="147">
        <v>25.4</v>
      </c>
      <c r="M70" s="147"/>
      <c r="N70" s="137"/>
      <c r="O70" s="146"/>
      <c r="P70" s="147"/>
      <c r="Q70" s="147"/>
      <c r="R70" s="147"/>
      <c r="S70" s="147"/>
      <c r="T70" s="147"/>
      <c r="U70" s="148" t="s">
        <v>40</v>
      </c>
      <c r="V70" s="149">
        <f>L70*I70</f>
        <v>76.199999999999989</v>
      </c>
    </row>
    <row r="71" spans="1:25" ht="15.5" x14ac:dyDescent="0.35">
      <c r="A71" s="137"/>
      <c r="B71" s="170"/>
      <c r="C71" s="648"/>
      <c r="D71" s="651"/>
      <c r="E71" s="651"/>
      <c r="F71" s="651"/>
      <c r="G71" s="652"/>
      <c r="H71" s="147"/>
      <c r="I71" s="147"/>
      <c r="J71" s="147"/>
      <c r="K71" s="147"/>
      <c r="L71" s="147"/>
      <c r="M71" s="147"/>
      <c r="N71" s="137"/>
      <c r="O71" s="146"/>
      <c r="P71" s="147"/>
      <c r="Q71" s="147"/>
      <c r="R71" s="147"/>
      <c r="S71" s="147"/>
      <c r="T71" s="147"/>
      <c r="U71" s="148"/>
      <c r="V71" s="149"/>
      <c r="Y71" s="2"/>
    </row>
    <row r="72" spans="1:25" ht="15.5" x14ac:dyDescent="0.35">
      <c r="A72" s="137"/>
      <c r="B72" s="170"/>
      <c r="C72" s="648"/>
      <c r="D72" s="651"/>
      <c r="E72" s="651"/>
      <c r="F72" s="651"/>
      <c r="G72" s="652"/>
      <c r="H72" s="147"/>
      <c r="I72" s="147"/>
      <c r="J72" s="147"/>
      <c r="K72" s="147"/>
      <c r="L72" s="147"/>
      <c r="M72" s="147"/>
      <c r="N72" s="147"/>
      <c r="O72" s="147"/>
      <c r="P72" s="147"/>
      <c r="Q72" s="147"/>
      <c r="R72" s="147"/>
      <c r="S72" s="147"/>
      <c r="T72" s="147"/>
      <c r="U72" s="172"/>
      <c r="V72" s="148"/>
    </row>
    <row r="73" spans="1:25" ht="16" thickBot="1" x14ac:dyDescent="0.4">
      <c r="A73" s="137"/>
      <c r="B73" s="173"/>
      <c r="C73" s="658"/>
      <c r="D73" s="659"/>
      <c r="E73" s="659"/>
      <c r="F73" s="659"/>
      <c r="G73" s="660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92"/>
      <c r="V73" s="148"/>
    </row>
    <row r="74" spans="1:25" ht="15.5" x14ac:dyDescent="0.35">
      <c r="A74" s="137"/>
      <c r="B74" s="184"/>
      <c r="C74" s="638" t="s">
        <v>138</v>
      </c>
      <c r="D74" s="622" t="s">
        <v>41</v>
      </c>
      <c r="E74" s="622"/>
      <c r="F74" s="622"/>
      <c r="G74" s="650"/>
      <c r="H74" s="185"/>
      <c r="I74" s="185"/>
      <c r="J74" s="185"/>
      <c r="K74" s="185"/>
      <c r="L74" s="185"/>
      <c r="M74" s="185"/>
      <c r="N74" s="186"/>
      <c r="O74" s="187"/>
      <c r="P74" s="185"/>
      <c r="Q74" s="185"/>
      <c r="R74" s="185"/>
      <c r="S74" s="185"/>
      <c r="T74" s="185"/>
      <c r="U74" s="188"/>
      <c r="V74" s="189"/>
    </row>
    <row r="75" spans="1:25" ht="15.5" x14ac:dyDescent="0.35">
      <c r="A75" s="137"/>
      <c r="B75" s="170"/>
      <c r="C75" s="648"/>
      <c r="D75" s="651"/>
      <c r="E75" s="651"/>
      <c r="F75" s="651"/>
      <c r="G75" s="652"/>
      <c r="H75" s="147"/>
      <c r="I75" s="147"/>
      <c r="J75" s="147"/>
      <c r="K75" s="147"/>
      <c r="L75" s="147"/>
      <c r="M75" s="147"/>
      <c r="N75" s="137"/>
      <c r="O75" s="146"/>
      <c r="P75" s="147"/>
      <c r="Q75" s="147"/>
      <c r="R75" s="147"/>
      <c r="S75" s="147"/>
      <c r="T75" s="147"/>
      <c r="U75" s="148"/>
      <c r="V75" s="149"/>
    </row>
    <row r="76" spans="1:25" ht="15.5" x14ac:dyDescent="0.35">
      <c r="A76" s="137"/>
      <c r="B76" s="170">
        <v>11</v>
      </c>
      <c r="C76" s="648"/>
      <c r="D76" s="651"/>
      <c r="E76" s="651"/>
      <c r="F76" s="651"/>
      <c r="G76" s="652"/>
      <c r="H76" s="147"/>
      <c r="I76" s="162">
        <v>1</v>
      </c>
      <c r="J76" s="137" t="s">
        <v>39</v>
      </c>
      <c r="K76" s="147"/>
      <c r="L76" s="147">
        <v>0.9</v>
      </c>
      <c r="M76" s="147" t="s">
        <v>39</v>
      </c>
      <c r="N76" s="137">
        <v>1.5</v>
      </c>
      <c r="O76" s="146"/>
      <c r="P76" s="147"/>
      <c r="Q76" s="147"/>
      <c r="R76" s="147"/>
      <c r="S76" s="147"/>
      <c r="T76" s="147"/>
      <c r="U76" s="148" t="s">
        <v>40</v>
      </c>
      <c r="V76" s="149">
        <f>I76*L76*N76</f>
        <v>1.35</v>
      </c>
    </row>
    <row r="77" spans="1:25" ht="15.5" x14ac:dyDescent="0.35">
      <c r="A77" s="137"/>
      <c r="B77" s="170"/>
      <c r="C77" s="648"/>
      <c r="D77" s="651"/>
      <c r="E77" s="651"/>
      <c r="F77" s="651"/>
      <c r="G77" s="652"/>
      <c r="H77" s="147"/>
      <c r="I77" s="147"/>
      <c r="J77" s="147"/>
      <c r="K77" s="147"/>
      <c r="L77" s="147"/>
      <c r="M77" s="147"/>
      <c r="N77" s="137"/>
      <c r="O77" s="146"/>
      <c r="P77" s="147"/>
      <c r="Q77" s="147"/>
      <c r="R77" s="147"/>
      <c r="S77" s="147"/>
      <c r="T77" s="147"/>
      <c r="U77" s="148"/>
      <c r="V77" s="149"/>
    </row>
    <row r="78" spans="1:25" ht="15.5" x14ac:dyDescent="0.35">
      <c r="A78" s="137"/>
      <c r="B78" s="170"/>
      <c r="C78" s="648"/>
      <c r="D78" s="651"/>
      <c r="E78" s="651"/>
      <c r="F78" s="651"/>
      <c r="G78" s="652"/>
      <c r="H78" s="147"/>
      <c r="I78" s="147"/>
      <c r="J78" s="147"/>
      <c r="K78" s="147"/>
      <c r="L78" s="147"/>
      <c r="M78" s="147"/>
      <c r="N78" s="147"/>
      <c r="O78" s="147"/>
      <c r="P78" s="147"/>
      <c r="Q78" s="147"/>
      <c r="R78" s="147"/>
      <c r="S78" s="147"/>
      <c r="T78" s="147"/>
      <c r="U78" s="172"/>
      <c r="V78" s="148"/>
    </row>
    <row r="79" spans="1:25" ht="16" thickBot="1" x14ac:dyDescent="0.4">
      <c r="A79" s="137"/>
      <c r="B79" s="173"/>
      <c r="C79" s="658"/>
      <c r="D79" s="659"/>
      <c r="E79" s="659"/>
      <c r="F79" s="659"/>
      <c r="G79" s="660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92"/>
      <c r="V79" s="148"/>
    </row>
    <row r="80" spans="1:25" ht="16" thickBot="1" x14ac:dyDescent="0.4">
      <c r="A80" s="137"/>
      <c r="B80" s="661" t="s">
        <v>48</v>
      </c>
      <c r="C80" s="610"/>
      <c r="D80" s="610"/>
      <c r="E80" s="610"/>
      <c r="F80" s="610"/>
      <c r="G80" s="610"/>
      <c r="H80" s="610"/>
      <c r="I80" s="610"/>
      <c r="J80" s="610"/>
      <c r="K80" s="610"/>
      <c r="L80" s="610"/>
      <c r="M80" s="610"/>
      <c r="N80" s="610"/>
      <c r="O80" s="610"/>
      <c r="P80" s="610"/>
      <c r="Q80" s="610"/>
      <c r="R80" s="610"/>
      <c r="S80" s="610"/>
      <c r="T80" s="610"/>
      <c r="U80" s="611"/>
      <c r="V80" s="193">
        <f>V52+V58+V64+V70+V76</f>
        <v>3916.6499999999996</v>
      </c>
    </row>
    <row r="81" spans="1:22" ht="16" thickBot="1" x14ac:dyDescent="0.4">
      <c r="A81" s="137"/>
      <c r="B81" s="645" t="s">
        <v>49</v>
      </c>
      <c r="C81" s="646"/>
      <c r="D81" s="646"/>
      <c r="E81" s="646"/>
      <c r="F81" s="646"/>
      <c r="G81" s="646"/>
      <c r="H81" s="646"/>
      <c r="I81" s="646"/>
      <c r="J81" s="646"/>
      <c r="K81" s="646"/>
      <c r="L81" s="646"/>
      <c r="M81" s="646"/>
      <c r="N81" s="646"/>
      <c r="O81" s="646"/>
      <c r="P81" s="646"/>
      <c r="Q81" s="646"/>
      <c r="R81" s="646"/>
      <c r="S81" s="646"/>
      <c r="T81" s="646"/>
      <c r="U81" s="646"/>
      <c r="V81" s="647"/>
    </row>
    <row r="82" spans="1:22" ht="15.5" x14ac:dyDescent="0.35">
      <c r="A82" s="137"/>
      <c r="B82" s="167"/>
      <c r="C82" s="632" t="s">
        <v>139</v>
      </c>
      <c r="D82" s="614" t="s">
        <v>140</v>
      </c>
      <c r="E82" s="635"/>
      <c r="F82" s="635"/>
      <c r="G82" s="636"/>
      <c r="H82" s="142"/>
      <c r="I82" s="142"/>
      <c r="J82" s="142"/>
      <c r="K82" s="142"/>
      <c r="L82" s="142"/>
      <c r="M82" s="142"/>
      <c r="N82" s="168"/>
      <c r="O82" s="141"/>
      <c r="P82" s="142"/>
      <c r="Q82" s="142"/>
      <c r="R82" s="142"/>
      <c r="S82" s="142"/>
      <c r="T82" s="142"/>
      <c r="U82" s="144"/>
      <c r="V82" s="169"/>
    </row>
    <row r="83" spans="1:22" ht="15.5" x14ac:dyDescent="0.35">
      <c r="A83" s="137"/>
      <c r="B83" s="170"/>
      <c r="C83" s="633"/>
      <c r="D83" s="625"/>
      <c r="E83" s="625"/>
      <c r="F83" s="625"/>
      <c r="G83" s="626"/>
      <c r="H83" s="147"/>
      <c r="I83" s="147"/>
      <c r="J83" s="147"/>
      <c r="K83" s="147"/>
      <c r="L83" s="147"/>
      <c r="M83" s="147"/>
      <c r="N83" s="137"/>
      <c r="O83" s="146"/>
      <c r="P83" s="147"/>
      <c r="Q83" s="147"/>
      <c r="R83" s="147"/>
      <c r="S83" s="147"/>
      <c r="T83" s="147"/>
      <c r="U83" s="148"/>
      <c r="V83" s="149"/>
    </row>
    <row r="84" spans="1:22" ht="15.5" x14ac:dyDescent="0.35">
      <c r="A84" s="137"/>
      <c r="B84" s="170">
        <v>12</v>
      </c>
      <c r="C84" s="633"/>
      <c r="D84" s="625"/>
      <c r="E84" s="625"/>
      <c r="F84" s="625"/>
      <c r="G84" s="626"/>
      <c r="H84" s="147"/>
      <c r="I84" s="147">
        <v>500</v>
      </c>
      <c r="J84" s="147" t="s">
        <v>39</v>
      </c>
      <c r="K84" s="194"/>
      <c r="L84" s="162">
        <v>3</v>
      </c>
      <c r="M84" s="194" t="s">
        <v>39</v>
      </c>
      <c r="N84" s="194">
        <v>1.25</v>
      </c>
      <c r="O84" s="146"/>
      <c r="P84" s="147"/>
      <c r="Q84" s="147"/>
      <c r="R84" s="147"/>
      <c r="S84" s="147"/>
      <c r="T84" s="147"/>
      <c r="U84" s="148" t="s">
        <v>40</v>
      </c>
      <c r="V84" s="149">
        <f>L84*I84*N84</f>
        <v>1875</v>
      </c>
    </row>
    <row r="85" spans="1:22" ht="15.5" x14ac:dyDescent="0.35">
      <c r="A85" s="137"/>
      <c r="B85" s="170"/>
      <c r="C85" s="633"/>
      <c r="D85" s="625"/>
      <c r="E85" s="625"/>
      <c r="F85" s="625"/>
      <c r="G85" s="626"/>
      <c r="H85" s="147"/>
      <c r="I85" s="147"/>
      <c r="J85" s="147"/>
      <c r="K85" s="147"/>
      <c r="L85" s="147"/>
      <c r="M85" s="147"/>
      <c r="N85" s="137"/>
      <c r="O85" s="146"/>
      <c r="P85" s="147"/>
      <c r="Q85" s="147"/>
      <c r="R85" s="147"/>
      <c r="S85" s="147"/>
      <c r="T85" s="147"/>
      <c r="U85" s="148"/>
      <c r="V85" s="149"/>
    </row>
    <row r="86" spans="1:22" ht="15.5" x14ac:dyDescent="0.35">
      <c r="A86" s="137"/>
      <c r="B86" s="170"/>
      <c r="C86" s="633"/>
      <c r="D86" s="625"/>
      <c r="E86" s="625"/>
      <c r="F86" s="625"/>
      <c r="G86" s="626"/>
      <c r="H86" s="147"/>
      <c r="I86" s="147"/>
      <c r="J86" s="147"/>
      <c r="K86" s="147"/>
      <c r="L86" s="147"/>
      <c r="M86" s="147"/>
      <c r="N86" s="137"/>
      <c r="O86" s="146"/>
      <c r="P86" s="147"/>
      <c r="Q86" s="147"/>
      <c r="R86" s="147"/>
      <c r="S86" s="147"/>
      <c r="T86" s="147"/>
      <c r="U86" s="148"/>
      <c r="V86" s="149"/>
    </row>
    <row r="87" spans="1:22" ht="15.5" x14ac:dyDescent="0.35">
      <c r="A87" s="137"/>
      <c r="B87" s="170"/>
      <c r="C87" s="633"/>
      <c r="D87" s="625"/>
      <c r="E87" s="625"/>
      <c r="F87" s="625"/>
      <c r="G87" s="626"/>
      <c r="H87" s="147"/>
      <c r="I87" s="147"/>
      <c r="J87" s="147"/>
      <c r="K87" s="147"/>
      <c r="L87" s="147"/>
      <c r="M87" s="147"/>
      <c r="N87" s="147"/>
      <c r="O87" s="147"/>
      <c r="P87" s="147"/>
      <c r="Q87" s="147"/>
      <c r="R87" s="147"/>
      <c r="S87" s="147"/>
      <c r="T87" s="147"/>
      <c r="U87" s="172"/>
      <c r="V87" s="148"/>
    </row>
    <row r="88" spans="1:22" ht="18.75" customHeight="1" x14ac:dyDescent="0.35">
      <c r="A88" s="137"/>
      <c r="B88" s="182"/>
      <c r="C88" s="634"/>
      <c r="D88" s="627"/>
      <c r="E88" s="627"/>
      <c r="F88" s="627"/>
      <c r="G88" s="628"/>
      <c r="H88" s="637"/>
      <c r="I88" s="627"/>
      <c r="J88" s="627"/>
      <c r="K88" s="627"/>
      <c r="L88" s="627"/>
      <c r="M88" s="627"/>
      <c r="N88" s="627"/>
      <c r="O88" s="627"/>
      <c r="P88" s="627"/>
      <c r="Q88" s="627"/>
      <c r="R88" s="627"/>
      <c r="S88" s="627"/>
      <c r="T88" s="627"/>
      <c r="U88" s="628"/>
      <c r="V88" s="183"/>
    </row>
    <row r="89" spans="1:22" ht="15.5" x14ac:dyDescent="0.35">
      <c r="A89" s="137"/>
      <c r="B89" s="184"/>
      <c r="C89" s="638" t="s">
        <v>141</v>
      </c>
      <c r="D89" s="622" t="s">
        <v>142</v>
      </c>
      <c r="E89" s="623"/>
      <c r="F89" s="623"/>
      <c r="G89" s="624"/>
      <c r="H89" s="185"/>
      <c r="I89" s="185"/>
      <c r="J89" s="185"/>
      <c r="K89" s="185"/>
      <c r="L89" s="185"/>
      <c r="M89" s="185"/>
      <c r="N89" s="186"/>
      <c r="O89" s="187"/>
      <c r="P89" s="185"/>
      <c r="Q89" s="185"/>
      <c r="R89" s="185"/>
      <c r="S89" s="185"/>
      <c r="T89" s="185"/>
      <c r="U89" s="188"/>
      <c r="V89" s="189"/>
    </row>
    <row r="90" spans="1:22" ht="15.5" x14ac:dyDescent="0.35">
      <c r="A90" s="137"/>
      <c r="B90" s="170"/>
      <c r="C90" s="639"/>
      <c r="D90" s="625"/>
      <c r="E90" s="625"/>
      <c r="F90" s="625"/>
      <c r="G90" s="626"/>
      <c r="H90" s="147"/>
      <c r="I90" s="147"/>
      <c r="J90" s="147"/>
      <c r="K90" s="147"/>
      <c r="L90" s="147"/>
      <c r="M90" s="147"/>
      <c r="N90" s="137"/>
      <c r="O90" s="146"/>
      <c r="P90" s="147"/>
      <c r="Q90" s="147"/>
      <c r="R90" s="147"/>
      <c r="S90" s="147"/>
      <c r="T90" s="147"/>
      <c r="U90" s="148"/>
      <c r="V90" s="149"/>
    </row>
    <row r="91" spans="1:22" ht="15.5" x14ac:dyDescent="0.35">
      <c r="A91" s="137"/>
      <c r="B91" s="170">
        <v>13</v>
      </c>
      <c r="C91" s="639"/>
      <c r="D91" s="625"/>
      <c r="E91" s="625"/>
      <c r="F91" s="625"/>
      <c r="G91" s="626"/>
      <c r="H91" s="147"/>
      <c r="I91" s="162">
        <f>L32</f>
        <v>56</v>
      </c>
      <c r="J91" s="146" t="s">
        <v>39</v>
      </c>
      <c r="K91" s="147"/>
      <c r="L91" s="147">
        <v>9.3000000000000007</v>
      </c>
      <c r="M91" s="147"/>
      <c r="N91" s="137"/>
      <c r="O91" s="146"/>
      <c r="P91" s="147"/>
      <c r="Q91" s="147"/>
      <c r="R91" s="147"/>
      <c r="S91" s="147"/>
      <c r="T91" s="147"/>
      <c r="U91" s="148" t="s">
        <v>40</v>
      </c>
      <c r="V91" s="149">
        <f>L91*I91</f>
        <v>520.80000000000007</v>
      </c>
    </row>
    <row r="92" spans="1:22" ht="15.5" x14ac:dyDescent="0.35">
      <c r="A92" s="137"/>
      <c r="B92" s="170"/>
      <c r="C92" s="639"/>
      <c r="D92" s="625"/>
      <c r="E92" s="625"/>
      <c r="F92" s="625"/>
      <c r="G92" s="626"/>
      <c r="H92" s="147"/>
      <c r="I92" s="147"/>
      <c r="J92" s="147"/>
      <c r="K92" s="147"/>
      <c r="L92" s="147"/>
      <c r="M92" s="147"/>
      <c r="N92" s="137"/>
      <c r="O92" s="146"/>
      <c r="P92" s="147"/>
      <c r="Q92" s="147"/>
      <c r="R92" s="147"/>
      <c r="S92" s="147"/>
      <c r="T92" s="147"/>
      <c r="U92" s="148"/>
      <c r="V92" s="149"/>
    </row>
    <row r="93" spans="1:22" ht="15.5" x14ac:dyDescent="0.35">
      <c r="A93" s="137"/>
      <c r="B93" s="170"/>
      <c r="C93" s="639"/>
      <c r="D93" s="625"/>
      <c r="E93" s="625"/>
      <c r="F93" s="625"/>
      <c r="G93" s="626"/>
      <c r="H93" s="147"/>
      <c r="I93" s="195"/>
      <c r="J93" s="147"/>
      <c r="K93" s="147"/>
      <c r="L93" s="147"/>
      <c r="M93" s="147"/>
      <c r="N93" s="137"/>
      <c r="O93" s="146"/>
      <c r="P93" s="147"/>
      <c r="Q93" s="147"/>
      <c r="R93" s="147"/>
      <c r="S93" s="147"/>
      <c r="T93" s="147"/>
      <c r="U93" s="148"/>
      <c r="V93" s="149"/>
    </row>
    <row r="94" spans="1:22" ht="15.5" x14ac:dyDescent="0.35">
      <c r="A94" s="137"/>
      <c r="B94" s="170"/>
      <c r="C94" s="639"/>
      <c r="D94" s="625"/>
      <c r="E94" s="625"/>
      <c r="F94" s="625"/>
      <c r="G94" s="626"/>
      <c r="H94" s="147"/>
      <c r="I94" s="147"/>
      <c r="J94" s="147"/>
      <c r="K94" s="147"/>
      <c r="L94" s="147"/>
      <c r="M94" s="147"/>
      <c r="N94" s="147"/>
      <c r="O94" s="147"/>
      <c r="P94" s="147"/>
      <c r="Q94" s="147"/>
      <c r="R94" s="147"/>
      <c r="S94" s="147"/>
      <c r="T94" s="147"/>
      <c r="U94" s="172"/>
      <c r="V94" s="148"/>
    </row>
    <row r="95" spans="1:22" ht="15.5" x14ac:dyDescent="0.35">
      <c r="A95" s="137"/>
      <c r="B95" s="182"/>
      <c r="C95" s="640"/>
      <c r="D95" s="627"/>
      <c r="E95" s="627"/>
      <c r="F95" s="627"/>
      <c r="G95" s="628"/>
      <c r="H95" s="637"/>
      <c r="I95" s="627"/>
      <c r="J95" s="627"/>
      <c r="K95" s="627"/>
      <c r="L95" s="627"/>
      <c r="M95" s="627"/>
      <c r="N95" s="627"/>
      <c r="O95" s="627"/>
      <c r="P95" s="627"/>
      <c r="Q95" s="627"/>
      <c r="R95" s="627"/>
      <c r="S95" s="627"/>
      <c r="T95" s="627"/>
      <c r="U95" s="628"/>
      <c r="V95" s="183"/>
    </row>
    <row r="96" spans="1:22" ht="15.5" x14ac:dyDescent="0.35">
      <c r="A96" s="137"/>
      <c r="B96" s="184"/>
      <c r="C96" s="638" t="s">
        <v>143</v>
      </c>
      <c r="D96" s="622" t="s">
        <v>144</v>
      </c>
      <c r="E96" s="623"/>
      <c r="F96" s="623"/>
      <c r="G96" s="624"/>
      <c r="H96" s="196"/>
      <c r="I96" s="196"/>
      <c r="J96" s="196"/>
      <c r="K96" s="196"/>
      <c r="L96" s="196"/>
      <c r="M96" s="196"/>
      <c r="N96" s="196"/>
      <c r="O96" s="196"/>
      <c r="P96" s="196"/>
      <c r="Q96" s="196"/>
      <c r="R96" s="196"/>
      <c r="S96" s="196"/>
      <c r="T96" s="196"/>
      <c r="U96" s="197"/>
      <c r="V96" s="188"/>
    </row>
    <row r="97" spans="1:25" ht="15.5" x14ac:dyDescent="0.35">
      <c r="A97" s="137"/>
      <c r="B97" s="170">
        <v>14</v>
      </c>
      <c r="C97" s="633"/>
      <c r="D97" s="625"/>
      <c r="E97" s="625"/>
      <c r="F97" s="625"/>
      <c r="G97" s="626"/>
      <c r="H97" s="198"/>
      <c r="I97" s="198"/>
      <c r="J97" s="198"/>
      <c r="K97" s="198"/>
      <c r="L97" s="198"/>
      <c r="M97" s="198"/>
      <c r="N97" s="198"/>
      <c r="O97" s="198"/>
      <c r="P97" s="198"/>
      <c r="Q97" s="198"/>
      <c r="R97" s="198"/>
      <c r="S97" s="198"/>
      <c r="T97" s="198"/>
      <c r="U97" s="199"/>
      <c r="V97" s="148"/>
    </row>
    <row r="98" spans="1:25" ht="15.5" x14ac:dyDescent="0.35">
      <c r="A98" s="137"/>
      <c r="B98" s="170"/>
      <c r="C98" s="633"/>
      <c r="D98" s="625"/>
      <c r="E98" s="625"/>
      <c r="F98" s="625"/>
      <c r="G98" s="626"/>
      <c r="H98" s="198"/>
      <c r="I98" s="200">
        <f>V80</f>
        <v>3916.6499999999996</v>
      </c>
      <c r="J98" s="147" t="s">
        <v>39</v>
      </c>
      <c r="K98" s="147"/>
      <c r="L98" s="147"/>
      <c r="M98" s="147"/>
      <c r="N98" s="179">
        <v>0.1</v>
      </c>
      <c r="O98" s="198"/>
      <c r="P98" s="198"/>
      <c r="Q98" s="198"/>
      <c r="R98" s="198"/>
      <c r="S98" s="198"/>
      <c r="T98" s="198"/>
      <c r="U98" s="172" t="s">
        <v>40</v>
      </c>
      <c r="V98" s="152">
        <f>I98*N98</f>
        <v>391.66499999999996</v>
      </c>
    </row>
    <row r="99" spans="1:25" ht="15.5" x14ac:dyDescent="0.35">
      <c r="A99" s="137"/>
      <c r="B99" s="170"/>
      <c r="C99" s="633"/>
      <c r="D99" s="625"/>
      <c r="E99" s="625"/>
      <c r="F99" s="625"/>
      <c r="G99" s="626"/>
      <c r="H99" s="198"/>
      <c r="I99" s="198"/>
      <c r="J99" s="198"/>
      <c r="K99" s="198"/>
      <c r="L99" s="198"/>
      <c r="M99" s="198"/>
      <c r="N99" s="198"/>
      <c r="O99" s="198"/>
      <c r="P99" s="198"/>
      <c r="Q99" s="198"/>
      <c r="R99" s="198"/>
      <c r="S99" s="198"/>
      <c r="T99" s="198"/>
      <c r="U99" s="199"/>
      <c r="V99" s="148"/>
    </row>
    <row r="100" spans="1:25" ht="39" customHeight="1" thickBot="1" x14ac:dyDescent="0.4">
      <c r="A100" s="137"/>
      <c r="B100" s="182"/>
      <c r="C100" s="634"/>
      <c r="D100" s="627"/>
      <c r="E100" s="627"/>
      <c r="F100" s="627"/>
      <c r="G100" s="628"/>
      <c r="H100" s="201"/>
      <c r="I100" s="201"/>
      <c r="J100" s="201"/>
      <c r="K100" s="201"/>
      <c r="L100" s="201"/>
      <c r="M100" s="201"/>
      <c r="N100" s="201"/>
      <c r="O100" s="201"/>
      <c r="P100" s="201"/>
      <c r="Q100" s="201"/>
      <c r="R100" s="201"/>
      <c r="S100" s="201"/>
      <c r="T100" s="201"/>
      <c r="U100" s="202"/>
      <c r="V100" s="183"/>
    </row>
    <row r="101" spans="1:25" ht="16" thickBot="1" x14ac:dyDescent="0.4">
      <c r="A101" s="137"/>
      <c r="B101" s="641" t="s">
        <v>50</v>
      </c>
      <c r="C101" s="642"/>
      <c r="D101" s="642"/>
      <c r="E101" s="642"/>
      <c r="F101" s="642"/>
      <c r="G101" s="642"/>
      <c r="H101" s="642"/>
      <c r="I101" s="642"/>
      <c r="J101" s="642"/>
      <c r="K101" s="642"/>
      <c r="L101" s="642"/>
      <c r="M101" s="642"/>
      <c r="N101" s="642"/>
      <c r="O101" s="642"/>
      <c r="P101" s="642"/>
      <c r="Q101" s="642"/>
      <c r="R101" s="642"/>
      <c r="S101" s="642"/>
      <c r="T101" s="642"/>
      <c r="U101" s="643"/>
      <c r="V101" s="203">
        <f>V84+V91+V98</f>
        <v>2787.4650000000001</v>
      </c>
    </row>
    <row r="102" spans="1:25" ht="16" hidden="1" thickBot="1" x14ac:dyDescent="0.4">
      <c r="A102" s="137"/>
      <c r="B102" s="204">
        <v>1</v>
      </c>
      <c r="C102" s="205">
        <v>2</v>
      </c>
      <c r="D102" s="644">
        <v>3</v>
      </c>
      <c r="E102" s="644"/>
      <c r="F102" s="644"/>
      <c r="G102" s="644"/>
      <c r="H102" s="644">
        <v>4</v>
      </c>
      <c r="I102" s="644"/>
      <c r="J102" s="644"/>
      <c r="K102" s="644"/>
      <c r="L102" s="644"/>
      <c r="M102" s="644"/>
      <c r="N102" s="644"/>
      <c r="O102" s="644"/>
      <c r="P102" s="644"/>
      <c r="Q102" s="644"/>
      <c r="R102" s="644"/>
      <c r="S102" s="644"/>
      <c r="T102" s="644"/>
      <c r="U102" s="644"/>
      <c r="V102" s="206">
        <v>5</v>
      </c>
    </row>
    <row r="103" spans="1:25" ht="15.75" customHeight="1" x14ac:dyDescent="0.35">
      <c r="A103" s="137"/>
      <c r="B103" s="167"/>
      <c r="C103" s="619" t="s">
        <v>145</v>
      </c>
      <c r="D103" s="622" t="s">
        <v>146</v>
      </c>
      <c r="E103" s="623"/>
      <c r="F103" s="623"/>
      <c r="G103" s="624"/>
      <c r="H103" s="207"/>
      <c r="I103" s="208">
        <f>V101</f>
        <v>2787.4650000000001</v>
      </c>
      <c r="J103" s="141" t="s">
        <v>39</v>
      </c>
      <c r="K103" s="142"/>
      <c r="L103" s="209">
        <v>0.21</v>
      </c>
      <c r="M103" s="142"/>
      <c r="N103" s="168"/>
      <c r="O103" s="141"/>
      <c r="P103" s="142"/>
      <c r="Q103" s="142"/>
      <c r="R103" s="142"/>
      <c r="S103" s="142"/>
      <c r="T103" s="142"/>
      <c r="U103" s="144" t="s">
        <v>40</v>
      </c>
      <c r="V103" s="210">
        <f>I103*L103</f>
        <v>585.36765000000003</v>
      </c>
    </row>
    <row r="104" spans="1:25" ht="15.5" x14ac:dyDescent="0.35">
      <c r="A104" s="137"/>
      <c r="B104" s="170"/>
      <c r="C104" s="620"/>
      <c r="D104" s="625"/>
      <c r="E104" s="625"/>
      <c r="F104" s="625"/>
      <c r="G104" s="626"/>
      <c r="H104" s="211"/>
      <c r="I104" s="147"/>
      <c r="J104" s="147"/>
      <c r="K104" s="147"/>
      <c r="L104" s="147"/>
      <c r="M104" s="147"/>
      <c r="N104" s="137"/>
      <c r="O104" s="146"/>
      <c r="P104" s="147"/>
      <c r="Q104" s="147"/>
      <c r="R104" s="147"/>
      <c r="S104" s="147"/>
      <c r="T104" s="147"/>
      <c r="U104" s="148"/>
      <c r="V104" s="149"/>
    </row>
    <row r="105" spans="1:25" ht="15.5" x14ac:dyDescent="0.35">
      <c r="A105" s="137"/>
      <c r="B105" s="170">
        <v>15</v>
      </c>
      <c r="C105" s="620"/>
      <c r="D105" s="625"/>
      <c r="E105" s="625"/>
      <c r="F105" s="625"/>
      <c r="G105" s="626"/>
      <c r="H105" s="211"/>
      <c r="I105" s="147"/>
      <c r="J105" s="147"/>
      <c r="K105" s="147"/>
      <c r="L105" s="147"/>
      <c r="M105" s="147"/>
      <c r="N105" s="137"/>
      <c r="O105" s="146"/>
      <c r="P105" s="147"/>
      <c r="Q105" s="147"/>
      <c r="R105" s="147"/>
      <c r="S105" s="147"/>
      <c r="T105" s="147"/>
      <c r="U105" s="148"/>
      <c r="V105" s="149"/>
    </row>
    <row r="106" spans="1:25" ht="15.5" x14ac:dyDescent="0.35">
      <c r="A106" s="137"/>
      <c r="B106" s="170"/>
      <c r="C106" s="620"/>
      <c r="D106" s="625"/>
      <c r="E106" s="625"/>
      <c r="F106" s="625"/>
      <c r="G106" s="626"/>
      <c r="H106" s="211"/>
      <c r="I106" s="147"/>
      <c r="J106" s="147"/>
      <c r="K106" s="147"/>
      <c r="L106" s="147"/>
      <c r="M106" s="147"/>
      <c r="N106" s="147"/>
      <c r="O106" s="147"/>
      <c r="P106" s="147"/>
      <c r="Q106" s="147"/>
      <c r="R106" s="147"/>
      <c r="S106" s="147"/>
      <c r="T106" s="147"/>
      <c r="U106" s="172"/>
      <c r="V106" s="148"/>
    </row>
    <row r="107" spans="1:25" ht="16" thickBot="1" x14ac:dyDescent="0.4">
      <c r="A107" s="137"/>
      <c r="B107" s="173"/>
      <c r="C107" s="621"/>
      <c r="D107" s="627"/>
      <c r="E107" s="627"/>
      <c r="F107" s="627"/>
      <c r="G107" s="628"/>
      <c r="H107" s="629"/>
      <c r="I107" s="630"/>
      <c r="J107" s="630"/>
      <c r="K107" s="630"/>
      <c r="L107" s="630"/>
      <c r="M107" s="630"/>
      <c r="N107" s="630"/>
      <c r="O107" s="630"/>
      <c r="P107" s="630"/>
      <c r="Q107" s="630"/>
      <c r="R107" s="630"/>
      <c r="S107" s="630"/>
      <c r="T107" s="630"/>
      <c r="U107" s="631"/>
      <c r="V107" s="158"/>
    </row>
    <row r="108" spans="1:25" ht="16" thickBot="1" x14ac:dyDescent="0.4">
      <c r="A108" s="137"/>
      <c r="B108" s="212"/>
      <c r="C108" s="213"/>
      <c r="D108" s="610"/>
      <c r="E108" s="610"/>
      <c r="F108" s="610"/>
      <c r="G108" s="611"/>
      <c r="H108" s="612" t="s">
        <v>147</v>
      </c>
      <c r="I108" s="610"/>
      <c r="J108" s="610"/>
      <c r="K108" s="610"/>
      <c r="L108" s="610"/>
      <c r="M108" s="610"/>
      <c r="N108" s="610"/>
      <c r="O108" s="610"/>
      <c r="P108" s="610"/>
      <c r="Q108" s="610"/>
      <c r="R108" s="610"/>
      <c r="S108" s="610"/>
      <c r="T108" s="610"/>
      <c r="U108" s="611"/>
      <c r="V108" s="214">
        <f>V35+V48+V80+V101+V103</f>
        <v>10505.19405</v>
      </c>
      <c r="X108" s="2"/>
      <c r="Y108" s="2"/>
    </row>
    <row r="109" spans="1:25" ht="35.25" customHeight="1" thickBot="1" x14ac:dyDescent="0.4">
      <c r="A109" s="137"/>
      <c r="B109" s="215">
        <v>16</v>
      </c>
      <c r="C109" s="613" t="s">
        <v>51</v>
      </c>
      <c r="D109" s="614"/>
      <c r="E109" s="614"/>
      <c r="F109" s="614"/>
      <c r="G109" s="615"/>
      <c r="H109" s="216"/>
      <c r="I109" s="217">
        <f>V108</f>
        <v>10505.19405</v>
      </c>
      <c r="J109" s="218" t="s">
        <v>39</v>
      </c>
      <c r="K109" s="218"/>
      <c r="L109" s="219">
        <v>1.2</v>
      </c>
      <c r="M109" s="220"/>
      <c r="N109" s="220"/>
      <c r="O109" s="221"/>
      <c r="P109" s="221"/>
      <c r="Q109" s="221"/>
      <c r="R109" s="221"/>
      <c r="S109" s="221"/>
      <c r="T109" s="221"/>
      <c r="U109" s="222" t="s">
        <v>40</v>
      </c>
      <c r="V109" s="223">
        <f>L109*I109</f>
        <v>12606.23286</v>
      </c>
      <c r="X109" s="1"/>
    </row>
    <row r="110" spans="1:25" ht="54.75" customHeight="1" thickBot="1" x14ac:dyDescent="0.4">
      <c r="B110" s="215">
        <v>17</v>
      </c>
      <c r="C110" s="616" t="s">
        <v>52</v>
      </c>
      <c r="D110" s="617"/>
      <c r="E110" s="617"/>
      <c r="F110" s="617"/>
      <c r="G110" s="618"/>
      <c r="H110" s="224"/>
      <c r="I110" s="225">
        <f>V109</f>
        <v>12606.23286</v>
      </c>
      <c r="J110" s="226" t="s">
        <v>39</v>
      </c>
      <c r="K110" s="226"/>
      <c r="L110" s="226">
        <v>58.26</v>
      </c>
      <c r="M110" s="227"/>
      <c r="N110" s="227"/>
      <c r="O110" s="227"/>
      <c r="P110" s="227"/>
      <c r="Q110" s="227"/>
      <c r="R110" s="227"/>
      <c r="S110" s="227"/>
      <c r="T110" s="227"/>
      <c r="U110" s="228"/>
      <c r="V110" s="229">
        <f>V109*L110</f>
        <v>734439.12642360001</v>
      </c>
    </row>
    <row r="111" spans="1:25" ht="33" customHeight="1" thickBot="1" x14ac:dyDescent="0.4">
      <c r="B111" s="139">
        <v>18</v>
      </c>
      <c r="C111" s="616" t="s">
        <v>187</v>
      </c>
      <c r="D111" s="617"/>
      <c r="E111" s="617"/>
      <c r="F111" s="617"/>
      <c r="G111" s="618"/>
      <c r="H111" s="224"/>
      <c r="I111" s="225">
        <f>V110</f>
        <v>734439.12642360001</v>
      </c>
      <c r="J111" s="226" t="s">
        <v>99</v>
      </c>
      <c r="K111" s="226"/>
      <c r="L111" s="226">
        <v>5.27</v>
      </c>
      <c r="M111" s="227"/>
      <c r="N111" s="227"/>
      <c r="O111" s="227"/>
      <c r="P111" s="227"/>
      <c r="Q111" s="227"/>
      <c r="R111" s="227"/>
      <c r="S111" s="227"/>
      <c r="T111" s="227"/>
      <c r="U111" s="228"/>
      <c r="V111" s="229">
        <f>V110/L111</f>
        <v>139362.26307848198</v>
      </c>
      <c r="X111" s="1"/>
    </row>
    <row r="112" spans="1:25" x14ac:dyDescent="0.35">
      <c r="X112" s="1"/>
    </row>
    <row r="115" spans="4:13" x14ac:dyDescent="0.35">
      <c r="D115" s="535" t="s">
        <v>186</v>
      </c>
      <c r="E115" s="535"/>
      <c r="F115" s="535"/>
      <c r="G115" s="535"/>
      <c r="H115" s="535"/>
      <c r="I115" s="535"/>
      <c r="J115" s="535"/>
      <c r="K115" s="535"/>
      <c r="L115" s="535"/>
      <c r="M115" s="535"/>
    </row>
  </sheetData>
  <mergeCells count="73">
    <mergeCell ref="C3:E3"/>
    <mergeCell ref="F3:N3"/>
    <mergeCell ref="C4:E4"/>
    <mergeCell ref="F4:N4"/>
    <mergeCell ref="C5:E5"/>
    <mergeCell ref="F5:N5"/>
    <mergeCell ref="D115:M115"/>
    <mergeCell ref="A1:V1"/>
    <mergeCell ref="E2:U2"/>
    <mergeCell ref="B8:C8"/>
    <mergeCell ref="B9:B12"/>
    <mergeCell ref="C9:C12"/>
    <mergeCell ref="D9:G12"/>
    <mergeCell ref="H9:U12"/>
    <mergeCell ref="V9:V12"/>
    <mergeCell ref="D13:G13"/>
    <mergeCell ref="H13:U13"/>
    <mergeCell ref="B14:V14"/>
    <mergeCell ref="B15:B19"/>
    <mergeCell ref="C15:C19"/>
    <mergeCell ref="D15:G17"/>
    <mergeCell ref="E18:G18"/>
    <mergeCell ref="B20:B23"/>
    <mergeCell ref="D20:G23"/>
    <mergeCell ref="H23:U23"/>
    <mergeCell ref="C24:C29"/>
    <mergeCell ref="D24:G29"/>
    <mergeCell ref="H29:U29"/>
    <mergeCell ref="C50:C55"/>
    <mergeCell ref="D50:G55"/>
    <mergeCell ref="H55:U55"/>
    <mergeCell ref="C30:C34"/>
    <mergeCell ref="D30:G34"/>
    <mergeCell ref="B35:U35"/>
    <mergeCell ref="B36:V36"/>
    <mergeCell ref="C37:C41"/>
    <mergeCell ref="D37:G41"/>
    <mergeCell ref="C42:C47"/>
    <mergeCell ref="D42:G47"/>
    <mergeCell ref="H47:U47"/>
    <mergeCell ref="B48:U48"/>
    <mergeCell ref="B49:V49"/>
    <mergeCell ref="B81:V81"/>
    <mergeCell ref="C56:C61"/>
    <mergeCell ref="D56:G61"/>
    <mergeCell ref="H61:U61"/>
    <mergeCell ref="C62:C67"/>
    <mergeCell ref="D62:G67"/>
    <mergeCell ref="H67:U67"/>
    <mergeCell ref="C68:C73"/>
    <mergeCell ref="D68:G73"/>
    <mergeCell ref="C74:C79"/>
    <mergeCell ref="D74:G79"/>
    <mergeCell ref="B80:U80"/>
    <mergeCell ref="C103:C107"/>
    <mergeCell ref="D103:G107"/>
    <mergeCell ref="H107:U107"/>
    <mergeCell ref="C82:C88"/>
    <mergeCell ref="D82:G88"/>
    <mergeCell ref="H88:U88"/>
    <mergeCell ref="C89:C95"/>
    <mergeCell ref="D89:G95"/>
    <mergeCell ref="H95:U95"/>
    <mergeCell ref="C96:C100"/>
    <mergeCell ref="D96:G100"/>
    <mergeCell ref="B101:U101"/>
    <mergeCell ref="D102:G102"/>
    <mergeCell ref="H102:U102"/>
    <mergeCell ref="D108:G108"/>
    <mergeCell ref="H108:U108"/>
    <mergeCell ref="C109:G109"/>
    <mergeCell ref="C110:G110"/>
    <mergeCell ref="C111:G111"/>
  </mergeCells>
  <pageMargins left="0.7" right="0.7" top="0.75" bottom="0.75" header="0.3" footer="0.3"/>
  <pageSetup paperSize="9" scale="41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U115"/>
  <sheetViews>
    <sheetView topLeftCell="A88" workbookViewId="0">
      <selection activeCell="B5" sqref="B5:M8"/>
    </sheetView>
  </sheetViews>
  <sheetFormatPr defaultRowHeight="14.5" x14ac:dyDescent="0.35"/>
  <cols>
    <col min="2" max="2" width="22.453125" customWidth="1"/>
    <col min="6" max="6" width="32.26953125" customWidth="1"/>
    <col min="8" max="8" width="15.7265625" customWidth="1"/>
    <col min="11" max="11" width="15.453125" customWidth="1"/>
    <col min="21" max="21" width="19.7265625" customWidth="1"/>
  </cols>
  <sheetData>
    <row r="2" spans="1:21" x14ac:dyDescent="0.35">
      <c r="A2" s="332"/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  <c r="T2" s="332"/>
      <c r="U2" s="332"/>
    </row>
    <row r="3" spans="1:21" x14ac:dyDescent="0.35">
      <c r="A3" s="525" t="s">
        <v>270</v>
      </c>
      <c r="B3" s="525"/>
      <c r="C3" s="525"/>
      <c r="D3" s="525"/>
      <c r="E3" s="525"/>
      <c r="F3" s="525"/>
      <c r="G3" s="525"/>
      <c r="H3" s="525"/>
      <c r="I3" s="525"/>
      <c r="J3" s="525"/>
      <c r="K3" s="525"/>
      <c r="L3" s="525"/>
      <c r="M3" s="525"/>
      <c r="N3" s="525"/>
      <c r="O3" s="525"/>
      <c r="P3" s="525"/>
      <c r="Q3" s="525"/>
      <c r="R3" s="525"/>
      <c r="S3" s="525"/>
      <c r="T3" s="525"/>
      <c r="U3" s="525"/>
    </row>
    <row r="4" spans="1:21" x14ac:dyDescent="0.35">
      <c r="A4" s="333"/>
      <c r="B4" s="333"/>
      <c r="C4" s="333"/>
      <c r="D4" s="334" t="s">
        <v>271</v>
      </c>
      <c r="E4" s="334"/>
      <c r="F4" s="333"/>
      <c r="G4" s="333"/>
      <c r="H4" s="333"/>
      <c r="I4" s="333"/>
      <c r="J4" s="333"/>
      <c r="K4" s="333"/>
      <c r="L4" s="333"/>
      <c r="M4" s="333"/>
      <c r="N4" s="333"/>
      <c r="O4" s="333"/>
      <c r="P4" s="333"/>
      <c r="Q4" s="333"/>
      <c r="R4" s="333"/>
      <c r="S4" s="333"/>
      <c r="T4" s="333"/>
      <c r="U4" s="333"/>
    </row>
    <row r="5" spans="1:21" ht="45.75" customHeight="1" x14ac:dyDescent="0.35">
      <c r="A5" s="471"/>
      <c r="B5" s="598" t="s">
        <v>2</v>
      </c>
      <c r="C5" s="598"/>
      <c r="D5" s="598"/>
      <c r="E5" s="599" t="s">
        <v>232</v>
      </c>
      <c r="F5" s="599"/>
      <c r="G5" s="599"/>
      <c r="H5" s="599"/>
      <c r="I5" s="599"/>
      <c r="J5" s="599"/>
      <c r="K5" s="599"/>
      <c r="L5" s="599"/>
      <c r="M5" s="599"/>
      <c r="N5" s="471"/>
      <c r="O5" s="471"/>
      <c r="P5" s="471"/>
      <c r="Q5" s="471"/>
      <c r="R5" s="471"/>
      <c r="S5" s="471"/>
      <c r="T5" s="471"/>
      <c r="U5" s="471"/>
    </row>
    <row r="6" spans="1:21" ht="33" customHeight="1" x14ac:dyDescent="0.35">
      <c r="A6" s="471"/>
      <c r="B6" s="598" t="s">
        <v>3</v>
      </c>
      <c r="C6" s="598"/>
      <c r="D6" s="598"/>
      <c r="E6" s="599" t="s">
        <v>156</v>
      </c>
      <c r="F6" s="599"/>
      <c r="G6" s="599"/>
      <c r="H6" s="599"/>
      <c r="I6" s="599"/>
      <c r="J6" s="599"/>
      <c r="K6" s="599"/>
      <c r="L6" s="599"/>
      <c r="M6" s="599"/>
      <c r="N6" s="471"/>
      <c r="O6" s="471"/>
      <c r="P6" s="471"/>
      <c r="Q6" s="471"/>
      <c r="R6" s="471"/>
      <c r="S6" s="471"/>
      <c r="T6" s="471"/>
      <c r="U6" s="471"/>
    </row>
    <row r="7" spans="1:21" ht="22.5" customHeight="1" x14ac:dyDescent="0.35">
      <c r="A7" s="471"/>
      <c r="B7" s="598" t="s">
        <v>4</v>
      </c>
      <c r="C7" s="598"/>
      <c r="D7" s="598"/>
      <c r="E7" s="599" t="s">
        <v>336</v>
      </c>
      <c r="F7" s="599"/>
      <c r="G7" s="599"/>
      <c r="H7" s="599"/>
      <c r="I7" s="599"/>
      <c r="J7" s="599"/>
      <c r="K7" s="599"/>
      <c r="L7" s="599"/>
      <c r="M7" s="599"/>
      <c r="N7" s="471"/>
      <c r="O7" s="471"/>
      <c r="P7" s="471"/>
      <c r="Q7" s="471"/>
      <c r="R7" s="471"/>
      <c r="S7" s="471"/>
      <c r="T7" s="471"/>
      <c r="U7" s="471"/>
    </row>
    <row r="8" spans="1:21" x14ac:dyDescent="0.35">
      <c r="A8" s="471"/>
      <c r="B8" s="471"/>
      <c r="C8" s="471"/>
      <c r="D8" s="334"/>
      <c r="E8" s="334"/>
      <c r="F8" s="471"/>
      <c r="G8" s="471"/>
      <c r="H8" s="471"/>
      <c r="I8" s="471"/>
      <c r="J8" s="471"/>
      <c r="K8" s="471"/>
      <c r="L8" s="471"/>
      <c r="M8" s="471"/>
      <c r="N8" s="471"/>
      <c r="O8" s="471"/>
      <c r="P8" s="471"/>
      <c r="Q8" s="471"/>
      <c r="R8" s="471"/>
      <c r="S8" s="471"/>
      <c r="T8" s="471"/>
      <c r="U8" s="471"/>
    </row>
    <row r="9" spans="1:21" ht="15" thickBot="1" x14ac:dyDescent="0.4">
      <c r="A9" s="795"/>
      <c r="B9" s="795"/>
      <c r="C9" s="333"/>
      <c r="D9" s="333"/>
      <c r="E9" s="333"/>
      <c r="F9" s="333"/>
      <c r="G9" s="333"/>
      <c r="H9" s="333"/>
      <c r="I9" s="333"/>
      <c r="J9" s="333"/>
      <c r="K9" s="333"/>
      <c r="L9" s="333"/>
      <c r="M9" s="333"/>
      <c r="N9" s="333"/>
      <c r="O9" s="333"/>
      <c r="P9" s="333"/>
      <c r="Q9" s="333"/>
      <c r="R9" s="333"/>
      <c r="S9" s="333"/>
      <c r="T9" s="333"/>
      <c r="U9" s="333"/>
    </row>
    <row r="10" spans="1:21" x14ac:dyDescent="0.35">
      <c r="A10" s="743" t="s">
        <v>5</v>
      </c>
      <c r="B10" s="743" t="s">
        <v>33</v>
      </c>
      <c r="C10" s="757" t="s">
        <v>34</v>
      </c>
      <c r="D10" s="758"/>
      <c r="E10" s="758"/>
      <c r="F10" s="759"/>
      <c r="G10" s="757" t="s">
        <v>272</v>
      </c>
      <c r="H10" s="758"/>
      <c r="I10" s="758"/>
      <c r="J10" s="758"/>
      <c r="K10" s="758"/>
      <c r="L10" s="758"/>
      <c r="M10" s="758"/>
      <c r="N10" s="758"/>
      <c r="O10" s="758"/>
      <c r="P10" s="758"/>
      <c r="Q10" s="758"/>
      <c r="R10" s="758"/>
      <c r="S10" s="758"/>
      <c r="T10" s="759"/>
      <c r="U10" s="743" t="s">
        <v>36</v>
      </c>
    </row>
    <row r="11" spans="1:21" x14ac:dyDescent="0.35">
      <c r="A11" s="714"/>
      <c r="B11" s="714"/>
      <c r="C11" s="726"/>
      <c r="D11" s="738"/>
      <c r="E11" s="738"/>
      <c r="F11" s="751"/>
      <c r="G11" s="726"/>
      <c r="H11" s="738"/>
      <c r="I11" s="738"/>
      <c r="J11" s="738"/>
      <c r="K11" s="738"/>
      <c r="L11" s="738"/>
      <c r="M11" s="738"/>
      <c r="N11" s="738"/>
      <c r="O11" s="738"/>
      <c r="P11" s="738"/>
      <c r="Q11" s="738"/>
      <c r="R11" s="738"/>
      <c r="S11" s="738"/>
      <c r="T11" s="751"/>
      <c r="U11" s="714"/>
    </row>
    <row r="12" spans="1:21" x14ac:dyDescent="0.35">
      <c r="A12" s="714"/>
      <c r="B12" s="714"/>
      <c r="C12" s="726"/>
      <c r="D12" s="738"/>
      <c r="E12" s="738"/>
      <c r="F12" s="751"/>
      <c r="G12" s="726"/>
      <c r="H12" s="738"/>
      <c r="I12" s="738"/>
      <c r="J12" s="738"/>
      <c r="K12" s="738"/>
      <c r="L12" s="738"/>
      <c r="M12" s="738"/>
      <c r="N12" s="738"/>
      <c r="O12" s="738"/>
      <c r="P12" s="738"/>
      <c r="Q12" s="738"/>
      <c r="R12" s="738"/>
      <c r="S12" s="738"/>
      <c r="T12" s="751"/>
      <c r="U12" s="714"/>
    </row>
    <row r="13" spans="1:21" ht="15" thickBot="1" x14ac:dyDescent="0.4">
      <c r="A13" s="715"/>
      <c r="B13" s="715"/>
      <c r="C13" s="727"/>
      <c r="D13" s="739"/>
      <c r="E13" s="739"/>
      <c r="F13" s="752"/>
      <c r="G13" s="727"/>
      <c r="H13" s="739"/>
      <c r="I13" s="739"/>
      <c r="J13" s="739"/>
      <c r="K13" s="739"/>
      <c r="L13" s="739"/>
      <c r="M13" s="739"/>
      <c r="N13" s="739"/>
      <c r="O13" s="739"/>
      <c r="P13" s="739"/>
      <c r="Q13" s="739"/>
      <c r="R13" s="739"/>
      <c r="S13" s="739"/>
      <c r="T13" s="752"/>
      <c r="U13" s="715"/>
    </row>
    <row r="14" spans="1:21" ht="15" thickBot="1" x14ac:dyDescent="0.4">
      <c r="A14" s="335">
        <v>1</v>
      </c>
      <c r="B14" s="336">
        <v>2</v>
      </c>
      <c r="C14" s="767">
        <v>3</v>
      </c>
      <c r="D14" s="768"/>
      <c r="E14" s="768"/>
      <c r="F14" s="769"/>
      <c r="G14" s="767">
        <v>4</v>
      </c>
      <c r="H14" s="768"/>
      <c r="I14" s="768"/>
      <c r="J14" s="768"/>
      <c r="K14" s="768"/>
      <c r="L14" s="768"/>
      <c r="M14" s="768"/>
      <c r="N14" s="768"/>
      <c r="O14" s="768"/>
      <c r="P14" s="768"/>
      <c r="Q14" s="768"/>
      <c r="R14" s="768"/>
      <c r="S14" s="768"/>
      <c r="T14" s="769"/>
      <c r="U14" s="336">
        <v>5</v>
      </c>
    </row>
    <row r="15" spans="1:21" ht="15" thickBot="1" x14ac:dyDescent="0.4">
      <c r="A15" s="764" t="s">
        <v>273</v>
      </c>
      <c r="B15" s="765"/>
      <c r="C15" s="765"/>
      <c r="D15" s="765"/>
      <c r="E15" s="765"/>
      <c r="F15" s="765"/>
      <c r="G15" s="765"/>
      <c r="H15" s="765"/>
      <c r="I15" s="765"/>
      <c r="J15" s="765"/>
      <c r="K15" s="765"/>
      <c r="L15" s="765"/>
      <c r="M15" s="765"/>
      <c r="N15" s="765"/>
      <c r="O15" s="765"/>
      <c r="P15" s="765"/>
      <c r="Q15" s="765"/>
      <c r="R15" s="765"/>
      <c r="S15" s="765"/>
      <c r="T15" s="765"/>
      <c r="U15" s="766"/>
    </row>
    <row r="16" spans="1:21" x14ac:dyDescent="0.35">
      <c r="A16" s="743">
        <v>1</v>
      </c>
      <c r="B16" s="743" t="s">
        <v>274</v>
      </c>
      <c r="C16" s="757" t="s">
        <v>275</v>
      </c>
      <c r="D16" s="758"/>
      <c r="E16" s="758"/>
      <c r="F16" s="759"/>
      <c r="G16" s="792"/>
      <c r="H16" s="758">
        <v>4.33</v>
      </c>
      <c r="I16" s="786" t="s">
        <v>39</v>
      </c>
      <c r="J16" s="337"/>
      <c r="K16" s="782">
        <v>4</v>
      </c>
      <c r="L16" s="773" t="s">
        <v>39</v>
      </c>
      <c r="M16" s="773">
        <v>1</v>
      </c>
      <c r="N16" s="338"/>
      <c r="O16" s="339"/>
      <c r="P16" s="339"/>
      <c r="Q16" s="339"/>
      <c r="R16" s="773" t="s">
        <v>39</v>
      </c>
      <c r="S16" s="776">
        <v>1</v>
      </c>
      <c r="T16" s="789" t="s">
        <v>40</v>
      </c>
      <c r="U16" s="780">
        <f>H16*K16*M16*S16</f>
        <v>17.32</v>
      </c>
    </row>
    <row r="17" spans="1:21" x14ac:dyDescent="0.35">
      <c r="A17" s="714"/>
      <c r="B17" s="714"/>
      <c r="C17" s="726"/>
      <c r="D17" s="738"/>
      <c r="E17" s="738"/>
      <c r="F17" s="751"/>
      <c r="G17" s="793"/>
      <c r="H17" s="738"/>
      <c r="I17" s="787"/>
      <c r="J17" s="303"/>
      <c r="K17" s="783"/>
      <c r="L17" s="774"/>
      <c r="M17" s="774"/>
      <c r="N17" s="340"/>
      <c r="O17" s="341"/>
      <c r="P17" s="341"/>
      <c r="Q17" s="341"/>
      <c r="R17" s="774"/>
      <c r="S17" s="777"/>
      <c r="T17" s="790"/>
      <c r="U17" s="698"/>
    </row>
    <row r="18" spans="1:21" x14ac:dyDescent="0.35">
      <c r="A18" s="714"/>
      <c r="B18" s="714"/>
      <c r="C18" s="726"/>
      <c r="D18" s="738"/>
      <c r="E18" s="738"/>
      <c r="F18" s="751"/>
      <c r="G18" s="793"/>
      <c r="H18" s="738"/>
      <c r="I18" s="787"/>
      <c r="J18" s="342"/>
      <c r="K18" s="783"/>
      <c r="L18" s="774"/>
      <c r="M18" s="774"/>
      <c r="N18" s="340"/>
      <c r="O18" s="341"/>
      <c r="P18" s="341"/>
      <c r="Q18" s="341"/>
      <c r="R18" s="774"/>
      <c r="S18" s="777"/>
      <c r="T18" s="790"/>
      <c r="U18" s="698"/>
    </row>
    <row r="19" spans="1:21" x14ac:dyDescent="0.35">
      <c r="A19" s="714"/>
      <c r="B19" s="714"/>
      <c r="C19" s="726"/>
      <c r="D19" s="738"/>
      <c r="E19" s="738"/>
      <c r="F19" s="751"/>
      <c r="G19" s="793"/>
      <c r="H19" s="738"/>
      <c r="I19" s="787"/>
      <c r="J19" s="342"/>
      <c r="K19" s="783"/>
      <c r="L19" s="774"/>
      <c r="M19" s="774"/>
      <c r="N19" s="340"/>
      <c r="O19" s="341"/>
      <c r="P19" s="341"/>
      <c r="Q19" s="341"/>
      <c r="R19" s="774"/>
      <c r="S19" s="777"/>
      <c r="T19" s="790"/>
      <c r="U19" s="698"/>
    </row>
    <row r="20" spans="1:21" ht="49.5" customHeight="1" thickBot="1" x14ac:dyDescent="0.4">
      <c r="A20" s="715"/>
      <c r="B20" s="715"/>
      <c r="C20" s="727"/>
      <c r="D20" s="739"/>
      <c r="E20" s="739"/>
      <c r="F20" s="752"/>
      <c r="G20" s="794"/>
      <c r="H20" s="739"/>
      <c r="I20" s="788"/>
      <c r="J20" s="342"/>
      <c r="K20" s="784"/>
      <c r="L20" s="775"/>
      <c r="M20" s="775"/>
      <c r="N20" s="340"/>
      <c r="O20" s="341"/>
      <c r="P20" s="341"/>
      <c r="Q20" s="341"/>
      <c r="R20" s="775"/>
      <c r="S20" s="778"/>
      <c r="T20" s="791"/>
      <c r="U20" s="699"/>
    </row>
    <row r="21" spans="1:21" x14ac:dyDescent="0.35">
      <c r="A21" s="743">
        <v>2</v>
      </c>
      <c r="B21" s="743" t="s">
        <v>276</v>
      </c>
      <c r="C21" s="757" t="s">
        <v>277</v>
      </c>
      <c r="D21" s="758"/>
      <c r="E21" s="758"/>
      <c r="F21" s="759"/>
      <c r="G21" s="757"/>
      <c r="H21" s="758">
        <v>7.6</v>
      </c>
      <c r="I21" s="786" t="s">
        <v>39</v>
      </c>
      <c r="J21" s="343"/>
      <c r="K21" s="782">
        <v>8</v>
      </c>
      <c r="L21" s="758"/>
      <c r="M21" s="785"/>
      <c r="N21" s="337"/>
      <c r="O21" s="343"/>
      <c r="P21" s="343"/>
      <c r="Q21" s="343"/>
      <c r="R21" s="773" t="s">
        <v>39</v>
      </c>
      <c r="S21" s="776">
        <v>1</v>
      </c>
      <c r="T21" s="779" t="s">
        <v>40</v>
      </c>
      <c r="U21" s="780">
        <f>H21*K21*S21</f>
        <v>60.8</v>
      </c>
    </row>
    <row r="22" spans="1:21" x14ac:dyDescent="0.35">
      <c r="A22" s="714"/>
      <c r="B22" s="714"/>
      <c r="C22" s="726"/>
      <c r="D22" s="738"/>
      <c r="E22" s="738"/>
      <c r="F22" s="751"/>
      <c r="G22" s="726"/>
      <c r="H22" s="738"/>
      <c r="I22" s="787"/>
      <c r="J22" s="342"/>
      <c r="K22" s="783"/>
      <c r="L22" s="738"/>
      <c r="M22" s="692"/>
      <c r="N22" s="344"/>
      <c r="O22" s="342"/>
      <c r="P22" s="342"/>
      <c r="Q22" s="342"/>
      <c r="R22" s="774"/>
      <c r="S22" s="777"/>
      <c r="T22" s="695"/>
      <c r="U22" s="698"/>
    </row>
    <row r="23" spans="1:21" x14ac:dyDescent="0.35">
      <c r="A23" s="714"/>
      <c r="B23" s="714"/>
      <c r="C23" s="726"/>
      <c r="D23" s="738"/>
      <c r="E23" s="738"/>
      <c r="F23" s="751"/>
      <c r="G23" s="726"/>
      <c r="H23" s="738"/>
      <c r="I23" s="787"/>
      <c r="J23" s="342"/>
      <c r="K23" s="783"/>
      <c r="L23" s="738"/>
      <c r="M23" s="692"/>
      <c r="N23" s="344"/>
      <c r="O23" s="342"/>
      <c r="P23" s="342"/>
      <c r="Q23" s="342"/>
      <c r="R23" s="774"/>
      <c r="S23" s="777"/>
      <c r="T23" s="695"/>
      <c r="U23" s="698"/>
    </row>
    <row r="24" spans="1:21" x14ac:dyDescent="0.35">
      <c r="A24" s="714"/>
      <c r="B24" s="714"/>
      <c r="C24" s="726"/>
      <c r="D24" s="738"/>
      <c r="E24" s="738"/>
      <c r="F24" s="751"/>
      <c r="G24" s="726"/>
      <c r="H24" s="738"/>
      <c r="I24" s="787"/>
      <c r="J24" s="342"/>
      <c r="K24" s="783"/>
      <c r="L24" s="738"/>
      <c r="M24" s="692"/>
      <c r="N24" s="344"/>
      <c r="O24" s="342"/>
      <c r="P24" s="342"/>
      <c r="Q24" s="342"/>
      <c r="R24" s="774"/>
      <c r="S24" s="777"/>
      <c r="T24" s="695"/>
      <c r="U24" s="698"/>
    </row>
    <row r="25" spans="1:21" ht="15" thickBot="1" x14ac:dyDescent="0.4">
      <c r="A25" s="715"/>
      <c r="B25" s="715"/>
      <c r="C25" s="727"/>
      <c r="D25" s="739"/>
      <c r="E25" s="739"/>
      <c r="F25" s="752"/>
      <c r="G25" s="727"/>
      <c r="H25" s="739"/>
      <c r="I25" s="788"/>
      <c r="J25" s="345"/>
      <c r="K25" s="784"/>
      <c r="L25" s="739"/>
      <c r="M25" s="693"/>
      <c r="N25" s="345"/>
      <c r="O25" s="345"/>
      <c r="P25" s="345"/>
      <c r="Q25" s="345"/>
      <c r="R25" s="775"/>
      <c r="S25" s="778"/>
      <c r="T25" s="696"/>
      <c r="U25" s="699"/>
    </row>
    <row r="26" spans="1:21" x14ac:dyDescent="0.35">
      <c r="A26" s="743">
        <v>3</v>
      </c>
      <c r="B26" s="743" t="s">
        <v>278</v>
      </c>
      <c r="C26" s="757" t="s">
        <v>279</v>
      </c>
      <c r="D26" s="758"/>
      <c r="E26" s="758"/>
      <c r="F26" s="759"/>
      <c r="G26" s="757"/>
      <c r="H26" s="758">
        <v>6.9</v>
      </c>
      <c r="I26" s="781" t="s">
        <v>39</v>
      </c>
      <c r="J26" s="342"/>
      <c r="K26" s="782">
        <v>20</v>
      </c>
      <c r="L26" s="758" t="s">
        <v>39</v>
      </c>
      <c r="M26" s="781">
        <v>0.9</v>
      </c>
      <c r="N26" s="344"/>
      <c r="O26" s="342"/>
      <c r="P26" s="342"/>
      <c r="Q26" s="342"/>
      <c r="R26" s="773" t="s">
        <v>39</v>
      </c>
      <c r="S26" s="776">
        <v>1</v>
      </c>
      <c r="T26" s="779" t="s">
        <v>40</v>
      </c>
      <c r="U26" s="780">
        <f>H26*K26*M26*S26</f>
        <v>124.2</v>
      </c>
    </row>
    <row r="27" spans="1:21" x14ac:dyDescent="0.35">
      <c r="A27" s="714"/>
      <c r="B27" s="714"/>
      <c r="C27" s="726"/>
      <c r="D27" s="738"/>
      <c r="E27" s="738"/>
      <c r="F27" s="751"/>
      <c r="G27" s="726"/>
      <c r="H27" s="738"/>
      <c r="I27" s="732"/>
      <c r="J27" s="342"/>
      <c r="K27" s="783"/>
      <c r="L27" s="738"/>
      <c r="M27" s="732"/>
      <c r="N27" s="344"/>
      <c r="O27" s="342"/>
      <c r="P27" s="342"/>
      <c r="Q27" s="342"/>
      <c r="R27" s="774"/>
      <c r="S27" s="777"/>
      <c r="T27" s="695"/>
      <c r="U27" s="698"/>
    </row>
    <row r="28" spans="1:21" x14ac:dyDescent="0.35">
      <c r="A28" s="714"/>
      <c r="B28" s="714"/>
      <c r="C28" s="726"/>
      <c r="D28" s="738"/>
      <c r="E28" s="738"/>
      <c r="F28" s="751"/>
      <c r="G28" s="726"/>
      <c r="H28" s="738"/>
      <c r="I28" s="732"/>
      <c r="J28" s="342"/>
      <c r="K28" s="783"/>
      <c r="L28" s="738"/>
      <c r="M28" s="732"/>
      <c r="N28" s="344"/>
      <c r="O28" s="342"/>
      <c r="P28" s="342"/>
      <c r="Q28" s="342"/>
      <c r="R28" s="774"/>
      <c r="S28" s="777"/>
      <c r="T28" s="695"/>
      <c r="U28" s="698"/>
    </row>
    <row r="29" spans="1:21" ht="15" thickBot="1" x14ac:dyDescent="0.4">
      <c r="A29" s="715"/>
      <c r="B29" s="715"/>
      <c r="C29" s="727"/>
      <c r="D29" s="739"/>
      <c r="E29" s="739"/>
      <c r="F29" s="752"/>
      <c r="G29" s="727"/>
      <c r="H29" s="739"/>
      <c r="I29" s="733"/>
      <c r="J29" s="342"/>
      <c r="K29" s="784"/>
      <c r="L29" s="739"/>
      <c r="M29" s="733"/>
      <c r="N29" s="344"/>
      <c r="O29" s="342"/>
      <c r="P29" s="342"/>
      <c r="Q29" s="342"/>
      <c r="R29" s="775"/>
      <c r="S29" s="778"/>
      <c r="T29" s="696"/>
      <c r="U29" s="699"/>
    </row>
    <row r="30" spans="1:21" ht="70.5" thickBot="1" x14ac:dyDescent="0.4">
      <c r="A30" s="346">
        <v>4</v>
      </c>
      <c r="B30" s="347" t="s">
        <v>280</v>
      </c>
      <c r="C30" s="767" t="s">
        <v>281</v>
      </c>
      <c r="D30" s="768"/>
      <c r="E30" s="768"/>
      <c r="F30" s="769"/>
      <c r="G30" s="348"/>
      <c r="H30" s="348">
        <v>16.600000000000001</v>
      </c>
      <c r="I30" s="349" t="s">
        <v>39</v>
      </c>
      <c r="J30" s="348"/>
      <c r="K30" s="350">
        <f>K16</f>
        <v>4</v>
      </c>
      <c r="L30" s="348" t="s">
        <v>39</v>
      </c>
      <c r="M30" s="351">
        <v>0.6</v>
      </c>
      <c r="N30" s="352"/>
      <c r="O30" s="348"/>
      <c r="P30" s="348"/>
      <c r="Q30" s="348"/>
      <c r="R30" s="353" t="s">
        <v>39</v>
      </c>
      <c r="S30" s="354">
        <v>1</v>
      </c>
      <c r="T30" s="355" t="s">
        <v>40</v>
      </c>
      <c r="U30" s="356">
        <f>H30*K30*M30</f>
        <v>39.840000000000003</v>
      </c>
    </row>
    <row r="31" spans="1:21" ht="15" thickBot="1" x14ac:dyDescent="0.4">
      <c r="A31" s="704" t="s">
        <v>42</v>
      </c>
      <c r="B31" s="705"/>
      <c r="C31" s="705"/>
      <c r="D31" s="705"/>
      <c r="E31" s="705"/>
      <c r="F31" s="705"/>
      <c r="G31" s="705"/>
      <c r="H31" s="705"/>
      <c r="I31" s="705"/>
      <c r="J31" s="705"/>
      <c r="K31" s="705"/>
      <c r="L31" s="705"/>
      <c r="M31" s="705"/>
      <c r="N31" s="705"/>
      <c r="O31" s="705"/>
      <c r="P31" s="705"/>
      <c r="Q31" s="705"/>
      <c r="R31" s="705"/>
      <c r="S31" s="705"/>
      <c r="T31" s="706"/>
      <c r="U31" s="357">
        <f>SUM(U16:U30)</f>
        <v>242.16</v>
      </c>
    </row>
    <row r="32" spans="1:21" ht="15" thickBot="1" x14ac:dyDescent="0.4">
      <c r="A32" s="764" t="s">
        <v>43</v>
      </c>
      <c r="B32" s="765"/>
      <c r="C32" s="765"/>
      <c r="D32" s="765"/>
      <c r="E32" s="765"/>
      <c r="F32" s="765"/>
      <c r="G32" s="765"/>
      <c r="H32" s="765"/>
      <c r="I32" s="765"/>
      <c r="J32" s="765"/>
      <c r="K32" s="765"/>
      <c r="L32" s="765"/>
      <c r="M32" s="765"/>
      <c r="N32" s="765"/>
      <c r="O32" s="765"/>
      <c r="P32" s="765"/>
      <c r="Q32" s="765"/>
      <c r="R32" s="765"/>
      <c r="S32" s="765"/>
      <c r="T32" s="765"/>
      <c r="U32" s="766"/>
    </row>
    <row r="33" spans="1:21" x14ac:dyDescent="0.35">
      <c r="A33" s="743">
        <v>5</v>
      </c>
      <c r="B33" s="743" t="s">
        <v>97</v>
      </c>
      <c r="C33" s="757" t="s">
        <v>98</v>
      </c>
      <c r="D33" s="758"/>
      <c r="E33" s="758"/>
      <c r="F33" s="759"/>
      <c r="G33" s="343"/>
      <c r="H33" s="343"/>
      <c r="I33" s="343"/>
      <c r="J33" s="343"/>
      <c r="K33" s="343"/>
      <c r="L33" s="343"/>
      <c r="M33" s="358"/>
      <c r="N33" s="337"/>
      <c r="O33" s="343"/>
      <c r="P33" s="343"/>
      <c r="Q33" s="343"/>
      <c r="R33" s="343"/>
      <c r="S33" s="343"/>
      <c r="T33" s="359"/>
      <c r="U33" s="360"/>
    </row>
    <row r="34" spans="1:21" x14ac:dyDescent="0.35">
      <c r="A34" s="714"/>
      <c r="B34" s="714"/>
      <c r="C34" s="726"/>
      <c r="D34" s="738"/>
      <c r="E34" s="738"/>
      <c r="F34" s="751"/>
      <c r="G34" s="342"/>
      <c r="H34" s="342"/>
      <c r="I34" s="342"/>
      <c r="J34" s="342"/>
      <c r="K34" s="342"/>
      <c r="L34" s="342"/>
      <c r="M34" s="333"/>
      <c r="N34" s="344"/>
      <c r="O34" s="342"/>
      <c r="P34" s="342"/>
      <c r="Q34" s="342"/>
      <c r="R34" s="342"/>
      <c r="S34" s="342"/>
      <c r="T34" s="361"/>
      <c r="U34" s="362"/>
    </row>
    <row r="35" spans="1:21" x14ac:dyDescent="0.35">
      <c r="A35" s="714"/>
      <c r="B35" s="714"/>
      <c r="C35" s="726"/>
      <c r="D35" s="738"/>
      <c r="E35" s="738"/>
      <c r="F35" s="751"/>
      <c r="G35" s="342"/>
      <c r="H35" s="363">
        <f>U31</f>
        <v>242.16</v>
      </c>
      <c r="I35" s="333" t="s">
        <v>39</v>
      </c>
      <c r="J35" s="342"/>
      <c r="K35" s="364">
        <v>8.7499999999999994E-2</v>
      </c>
      <c r="L35" s="342"/>
      <c r="M35" s="333"/>
      <c r="N35" s="344"/>
      <c r="O35" s="342"/>
      <c r="P35" s="342"/>
      <c r="Q35" s="342"/>
      <c r="R35" s="342"/>
      <c r="S35" s="342"/>
      <c r="T35" s="361" t="s">
        <v>40</v>
      </c>
      <c r="U35" s="362">
        <f>H35*K35</f>
        <v>21.189</v>
      </c>
    </row>
    <row r="36" spans="1:21" x14ac:dyDescent="0.35">
      <c r="A36" s="714"/>
      <c r="B36" s="714"/>
      <c r="C36" s="726"/>
      <c r="D36" s="738"/>
      <c r="E36" s="738"/>
      <c r="F36" s="751"/>
      <c r="G36" s="342"/>
      <c r="H36" s="342"/>
      <c r="I36" s="342"/>
      <c r="J36" s="342"/>
      <c r="K36" s="342"/>
      <c r="L36" s="342"/>
      <c r="M36" s="333"/>
      <c r="N36" s="344"/>
      <c r="O36" s="342"/>
      <c r="P36" s="342"/>
      <c r="Q36" s="342"/>
      <c r="R36" s="342"/>
      <c r="S36" s="342"/>
      <c r="T36" s="361"/>
      <c r="U36" s="362"/>
    </row>
    <row r="37" spans="1:21" ht="15" thickBot="1" x14ac:dyDescent="0.4">
      <c r="A37" s="715"/>
      <c r="B37" s="715"/>
      <c r="C37" s="727"/>
      <c r="D37" s="739"/>
      <c r="E37" s="739"/>
      <c r="F37" s="752"/>
      <c r="G37" s="342"/>
      <c r="H37" s="342"/>
      <c r="I37" s="342"/>
      <c r="J37" s="342"/>
      <c r="K37" s="342"/>
      <c r="L37" s="342"/>
      <c r="M37" s="342"/>
      <c r="N37" s="342"/>
      <c r="O37" s="342"/>
      <c r="P37" s="342"/>
      <c r="Q37" s="342"/>
      <c r="R37" s="342"/>
      <c r="S37" s="342"/>
      <c r="T37" s="365"/>
      <c r="U37" s="361"/>
    </row>
    <row r="38" spans="1:21" x14ac:dyDescent="0.35">
      <c r="A38" s="743">
        <v>6</v>
      </c>
      <c r="B38" s="743" t="s">
        <v>44</v>
      </c>
      <c r="C38" s="757" t="s">
        <v>45</v>
      </c>
      <c r="D38" s="758"/>
      <c r="E38" s="758"/>
      <c r="F38" s="759"/>
      <c r="G38" s="366"/>
      <c r="H38" s="343"/>
      <c r="I38" s="343"/>
      <c r="J38" s="343"/>
      <c r="K38" s="343"/>
      <c r="L38" s="343"/>
      <c r="M38" s="358"/>
      <c r="N38" s="337"/>
      <c r="O38" s="343"/>
      <c r="P38" s="343"/>
      <c r="Q38" s="343"/>
      <c r="R38" s="343"/>
      <c r="S38" s="343"/>
      <c r="T38" s="359"/>
      <c r="U38" s="360"/>
    </row>
    <row r="39" spans="1:21" x14ac:dyDescent="0.35">
      <c r="A39" s="714"/>
      <c r="B39" s="714"/>
      <c r="C39" s="726"/>
      <c r="D39" s="738"/>
      <c r="E39" s="738"/>
      <c r="F39" s="751"/>
      <c r="G39" s="367"/>
      <c r="H39" s="342"/>
      <c r="I39" s="342"/>
      <c r="J39" s="342"/>
      <c r="K39" s="342"/>
      <c r="L39" s="342"/>
      <c r="M39" s="333"/>
      <c r="N39" s="344"/>
      <c r="O39" s="342"/>
      <c r="P39" s="342"/>
      <c r="Q39" s="342"/>
      <c r="R39" s="342"/>
      <c r="S39" s="342"/>
      <c r="T39" s="361"/>
      <c r="U39" s="362"/>
    </row>
    <row r="40" spans="1:21" x14ac:dyDescent="0.35">
      <c r="A40" s="714"/>
      <c r="B40" s="714"/>
      <c r="C40" s="726"/>
      <c r="D40" s="738"/>
      <c r="E40" s="738"/>
      <c r="F40" s="751"/>
      <c r="G40" s="367" t="s">
        <v>46</v>
      </c>
      <c r="H40" s="363">
        <f>U31</f>
        <v>242.16</v>
      </c>
      <c r="I40" s="333" t="s">
        <v>25</v>
      </c>
      <c r="J40" s="342"/>
      <c r="K40" s="368">
        <f>U35</f>
        <v>21.189</v>
      </c>
      <c r="L40" s="342" t="s">
        <v>47</v>
      </c>
      <c r="M40" s="369">
        <v>0.06</v>
      </c>
      <c r="N40" s="344"/>
      <c r="O40" s="342"/>
      <c r="P40" s="342"/>
      <c r="Q40" s="342"/>
      <c r="R40" s="342"/>
      <c r="S40" s="342"/>
      <c r="T40" s="361" t="s">
        <v>40</v>
      </c>
      <c r="U40" s="362">
        <f>(H40+K40)*M40</f>
        <v>15.800939999999999</v>
      </c>
    </row>
    <row r="41" spans="1:21" ht="15" thickBot="1" x14ac:dyDescent="0.4">
      <c r="A41" s="715"/>
      <c r="B41" s="715"/>
      <c r="C41" s="727"/>
      <c r="D41" s="739"/>
      <c r="E41" s="739"/>
      <c r="F41" s="752"/>
      <c r="G41" s="370"/>
      <c r="H41" s="345"/>
      <c r="I41" s="371"/>
      <c r="J41" s="345"/>
      <c r="K41" s="372"/>
      <c r="L41" s="345"/>
      <c r="M41" s="371"/>
      <c r="N41" s="373"/>
      <c r="O41" s="345"/>
      <c r="P41" s="345"/>
      <c r="Q41" s="345"/>
      <c r="R41" s="345"/>
      <c r="S41" s="345"/>
      <c r="T41" s="374"/>
      <c r="U41" s="362"/>
    </row>
    <row r="42" spans="1:21" ht="42.5" thickBot="1" x14ac:dyDescent="0.4">
      <c r="A42" s="375">
        <v>7</v>
      </c>
      <c r="B42" s="375" t="s">
        <v>282</v>
      </c>
      <c r="C42" s="767" t="s">
        <v>283</v>
      </c>
      <c r="D42" s="768"/>
      <c r="E42" s="768"/>
      <c r="F42" s="769"/>
      <c r="G42" s="345" t="s">
        <v>46</v>
      </c>
      <c r="H42" s="376">
        <f>U31</f>
        <v>242.16</v>
      </c>
      <c r="I42" s="377" t="s">
        <v>25</v>
      </c>
      <c r="J42" s="378"/>
      <c r="K42" s="376">
        <f>U35</f>
        <v>21.189</v>
      </c>
      <c r="L42" s="378" t="s">
        <v>47</v>
      </c>
      <c r="M42" s="379">
        <v>0</v>
      </c>
      <c r="N42" s="377"/>
      <c r="O42" s="378"/>
      <c r="P42" s="378"/>
      <c r="Q42" s="378"/>
      <c r="R42" s="378"/>
      <c r="S42" s="378"/>
      <c r="T42" s="380" t="s">
        <v>40</v>
      </c>
      <c r="U42" s="381">
        <f>(H42+K42)*M42</f>
        <v>0</v>
      </c>
    </row>
    <row r="43" spans="1:21" ht="15" thickBot="1" x14ac:dyDescent="0.4">
      <c r="A43" s="770" t="s">
        <v>284</v>
      </c>
      <c r="B43" s="771"/>
      <c r="C43" s="771"/>
      <c r="D43" s="771"/>
      <c r="E43" s="771"/>
      <c r="F43" s="771"/>
      <c r="G43" s="771"/>
      <c r="H43" s="771"/>
      <c r="I43" s="771"/>
      <c r="J43" s="771"/>
      <c r="K43" s="771"/>
      <c r="L43" s="771"/>
      <c r="M43" s="771"/>
      <c r="N43" s="771"/>
      <c r="O43" s="771"/>
      <c r="P43" s="771"/>
      <c r="Q43" s="771"/>
      <c r="R43" s="771"/>
      <c r="S43" s="771"/>
      <c r="T43" s="772"/>
      <c r="U43" s="382">
        <f>U31+U35+U40+U42</f>
        <v>279.14994000000002</v>
      </c>
    </row>
    <row r="44" spans="1:21" ht="15" thickBot="1" x14ac:dyDescent="0.4">
      <c r="A44" s="767" t="s">
        <v>285</v>
      </c>
      <c r="B44" s="768"/>
      <c r="C44" s="768"/>
      <c r="D44" s="768"/>
      <c r="E44" s="768"/>
      <c r="F44" s="768"/>
      <c r="G44" s="768"/>
      <c r="H44" s="768"/>
      <c r="I44" s="768"/>
      <c r="J44" s="768"/>
      <c r="K44" s="768"/>
      <c r="L44" s="768"/>
      <c r="M44" s="768"/>
      <c r="N44" s="768"/>
      <c r="O44" s="768"/>
      <c r="P44" s="768"/>
      <c r="Q44" s="768"/>
      <c r="R44" s="768"/>
      <c r="S44" s="768"/>
      <c r="T44" s="768"/>
      <c r="U44" s="769"/>
    </row>
    <row r="45" spans="1:21" x14ac:dyDescent="0.35">
      <c r="A45" s="743">
        <v>8</v>
      </c>
      <c r="B45" s="743" t="s">
        <v>286</v>
      </c>
      <c r="C45" s="757" t="s">
        <v>287</v>
      </c>
      <c r="D45" s="758"/>
      <c r="E45" s="758"/>
      <c r="F45" s="759"/>
      <c r="G45" s="343"/>
      <c r="H45" s="343"/>
      <c r="I45" s="343"/>
      <c r="J45" s="343"/>
      <c r="K45" s="343"/>
      <c r="L45" s="343"/>
      <c r="M45" s="358"/>
      <c r="N45" s="337"/>
      <c r="O45" s="343"/>
      <c r="P45" s="343"/>
      <c r="Q45" s="343"/>
      <c r="R45" s="343"/>
      <c r="S45" s="343"/>
      <c r="T45" s="359"/>
      <c r="U45" s="383"/>
    </row>
    <row r="46" spans="1:21" x14ac:dyDescent="0.35">
      <c r="A46" s="714"/>
      <c r="B46" s="714"/>
      <c r="C46" s="726"/>
      <c r="D46" s="738"/>
      <c r="E46" s="738"/>
      <c r="F46" s="751"/>
      <c r="G46" s="342"/>
      <c r="H46" s="342"/>
      <c r="I46" s="342"/>
      <c r="J46" s="342"/>
      <c r="K46" s="342"/>
      <c r="L46" s="342"/>
      <c r="M46" s="333"/>
      <c r="N46" s="344"/>
      <c r="O46" s="342"/>
      <c r="P46" s="342"/>
      <c r="Q46" s="342"/>
      <c r="R46" s="342"/>
      <c r="S46" s="342"/>
      <c r="T46" s="361"/>
      <c r="U46" s="384"/>
    </row>
    <row r="47" spans="1:21" x14ac:dyDescent="0.35">
      <c r="A47" s="714"/>
      <c r="B47" s="714"/>
      <c r="C47" s="726"/>
      <c r="D47" s="738"/>
      <c r="E47" s="738"/>
      <c r="F47" s="751"/>
      <c r="G47" s="342"/>
      <c r="H47" s="342">
        <v>2</v>
      </c>
      <c r="I47" s="333" t="s">
        <v>39</v>
      </c>
      <c r="J47" s="342"/>
      <c r="K47" s="385">
        <f>K21</f>
        <v>8</v>
      </c>
      <c r="L47" s="342"/>
      <c r="M47" s="333"/>
      <c r="N47" s="344"/>
      <c r="O47" s="342"/>
      <c r="P47" s="342"/>
      <c r="Q47" s="342"/>
      <c r="R47" s="342"/>
      <c r="S47" s="342"/>
      <c r="T47" s="361" t="s">
        <v>40</v>
      </c>
      <c r="U47" s="384">
        <f>H47*K47</f>
        <v>16</v>
      </c>
    </row>
    <row r="48" spans="1:21" x14ac:dyDescent="0.35">
      <c r="A48" s="714"/>
      <c r="B48" s="714"/>
      <c r="C48" s="726"/>
      <c r="D48" s="738"/>
      <c r="E48" s="738"/>
      <c r="F48" s="751"/>
      <c r="G48" s="342"/>
      <c r="H48" s="342"/>
      <c r="I48" s="342"/>
      <c r="J48" s="342"/>
      <c r="K48" s="342"/>
      <c r="L48" s="342"/>
      <c r="M48" s="333"/>
      <c r="N48" s="344"/>
      <c r="O48" s="342"/>
      <c r="P48" s="342"/>
      <c r="Q48" s="342"/>
      <c r="R48" s="342"/>
      <c r="S48" s="342"/>
      <c r="T48" s="361"/>
      <c r="U48" s="384"/>
    </row>
    <row r="49" spans="1:21" ht="15" thickBot="1" x14ac:dyDescent="0.4">
      <c r="A49" s="715"/>
      <c r="B49" s="715"/>
      <c r="C49" s="727"/>
      <c r="D49" s="739"/>
      <c r="E49" s="739"/>
      <c r="F49" s="752"/>
      <c r="G49" s="342"/>
      <c r="H49" s="342"/>
      <c r="I49" s="342"/>
      <c r="J49" s="342"/>
      <c r="K49" s="342"/>
      <c r="L49" s="342"/>
      <c r="M49" s="342"/>
      <c r="N49" s="342"/>
      <c r="O49" s="342"/>
      <c r="P49" s="342"/>
      <c r="Q49" s="342"/>
      <c r="R49" s="342"/>
      <c r="S49" s="342"/>
      <c r="T49" s="365"/>
      <c r="U49" s="384"/>
    </row>
    <row r="50" spans="1:21" ht="98.5" thickBot="1" x14ac:dyDescent="0.4">
      <c r="A50" s="375">
        <v>9</v>
      </c>
      <c r="B50" s="347" t="s">
        <v>288</v>
      </c>
      <c r="C50" s="767" t="s">
        <v>289</v>
      </c>
      <c r="D50" s="768"/>
      <c r="E50" s="768"/>
      <c r="F50" s="769"/>
      <c r="G50" s="386"/>
      <c r="H50" s="348">
        <v>8.6</v>
      </c>
      <c r="I50" s="348" t="s">
        <v>39</v>
      </c>
      <c r="J50" s="386"/>
      <c r="K50" s="350">
        <f>K47</f>
        <v>8</v>
      </c>
      <c r="L50" s="386"/>
      <c r="M50" s="386"/>
      <c r="N50" s="386"/>
      <c r="O50" s="386"/>
      <c r="P50" s="386"/>
      <c r="Q50" s="386"/>
      <c r="R50" s="386"/>
      <c r="S50" s="386"/>
      <c r="T50" s="336" t="s">
        <v>40</v>
      </c>
      <c r="U50" s="387">
        <f>H50*K50</f>
        <v>68.8</v>
      </c>
    </row>
    <row r="51" spans="1:21" ht="112.5" thickBot="1" x14ac:dyDescent="0.4">
      <c r="A51" s="375">
        <v>10</v>
      </c>
      <c r="B51" s="375" t="s">
        <v>290</v>
      </c>
      <c r="C51" s="767" t="s">
        <v>291</v>
      </c>
      <c r="D51" s="768"/>
      <c r="E51" s="768"/>
      <c r="F51" s="769"/>
      <c r="G51" s="386"/>
      <c r="H51" s="348">
        <v>7.8</v>
      </c>
      <c r="I51" s="348" t="s">
        <v>39</v>
      </c>
      <c r="J51" s="348"/>
      <c r="K51" s="350">
        <f>K50</f>
        <v>8</v>
      </c>
      <c r="L51" s="348"/>
      <c r="M51" s="348"/>
      <c r="N51" s="386"/>
      <c r="O51" s="386"/>
      <c r="P51" s="386"/>
      <c r="Q51" s="386"/>
      <c r="R51" s="386"/>
      <c r="S51" s="386"/>
      <c r="T51" s="336" t="s">
        <v>40</v>
      </c>
      <c r="U51" s="387">
        <f>H51*K51</f>
        <v>62.4</v>
      </c>
    </row>
    <row r="52" spans="1:21" ht="42.5" thickBot="1" x14ac:dyDescent="0.4">
      <c r="A52" s="375">
        <v>11</v>
      </c>
      <c r="B52" s="375" t="s">
        <v>292</v>
      </c>
      <c r="C52" s="767" t="s">
        <v>293</v>
      </c>
      <c r="D52" s="768"/>
      <c r="E52" s="768"/>
      <c r="F52" s="769"/>
      <c r="G52" s="386"/>
      <c r="H52" s="348">
        <v>9.6</v>
      </c>
      <c r="I52" s="348" t="s">
        <v>39</v>
      </c>
      <c r="J52" s="348"/>
      <c r="K52" s="350">
        <f>K51</f>
        <v>8</v>
      </c>
      <c r="L52" s="348"/>
      <c r="M52" s="348"/>
      <c r="N52" s="348"/>
      <c r="O52" s="348"/>
      <c r="P52" s="348"/>
      <c r="Q52" s="348"/>
      <c r="R52" s="348"/>
      <c r="S52" s="348"/>
      <c r="T52" s="336" t="s">
        <v>40</v>
      </c>
      <c r="U52" s="387">
        <f t="shared" ref="U52:U55" si="0">H52*K52</f>
        <v>76.8</v>
      </c>
    </row>
    <row r="53" spans="1:21" ht="56.5" thickBot="1" x14ac:dyDescent="0.4">
      <c r="A53" s="375">
        <v>12</v>
      </c>
      <c r="B53" s="375" t="s">
        <v>294</v>
      </c>
      <c r="C53" s="767" t="s">
        <v>295</v>
      </c>
      <c r="D53" s="768"/>
      <c r="E53" s="768"/>
      <c r="F53" s="769"/>
      <c r="G53" s="386"/>
      <c r="H53" s="348">
        <v>14</v>
      </c>
      <c r="I53" s="348"/>
      <c r="J53" s="348"/>
      <c r="K53" s="350">
        <f>K52</f>
        <v>8</v>
      </c>
      <c r="L53" s="348"/>
      <c r="M53" s="348"/>
      <c r="N53" s="348"/>
      <c r="O53" s="348"/>
      <c r="P53" s="348"/>
      <c r="Q53" s="348"/>
      <c r="R53" s="348"/>
      <c r="S53" s="348"/>
      <c r="T53" s="336" t="s">
        <v>40</v>
      </c>
      <c r="U53" s="387">
        <f t="shared" si="0"/>
        <v>112</v>
      </c>
    </row>
    <row r="54" spans="1:21" ht="42.5" thickBot="1" x14ac:dyDescent="0.4">
      <c r="A54" s="375">
        <v>13</v>
      </c>
      <c r="B54" s="375" t="s">
        <v>296</v>
      </c>
      <c r="C54" s="767" t="s">
        <v>297</v>
      </c>
      <c r="D54" s="768"/>
      <c r="E54" s="768"/>
      <c r="F54" s="769"/>
      <c r="G54" s="386"/>
      <c r="H54" s="348">
        <v>3.1</v>
      </c>
      <c r="I54" s="348" t="s">
        <v>39</v>
      </c>
      <c r="J54" s="348"/>
      <c r="K54" s="350">
        <f>K53</f>
        <v>8</v>
      </c>
      <c r="L54" s="348"/>
      <c r="M54" s="348"/>
      <c r="N54" s="348"/>
      <c r="O54" s="348"/>
      <c r="P54" s="348"/>
      <c r="Q54" s="348"/>
      <c r="R54" s="348"/>
      <c r="S54" s="348"/>
      <c r="T54" s="336" t="s">
        <v>40</v>
      </c>
      <c r="U54" s="387">
        <f t="shared" si="0"/>
        <v>24.8</v>
      </c>
    </row>
    <row r="55" spans="1:21" ht="42.5" thickBot="1" x14ac:dyDescent="0.4">
      <c r="A55" s="388">
        <v>14</v>
      </c>
      <c r="B55" s="388" t="s">
        <v>298</v>
      </c>
      <c r="C55" s="767" t="s">
        <v>299</v>
      </c>
      <c r="D55" s="768"/>
      <c r="E55" s="768"/>
      <c r="F55" s="769"/>
      <c r="G55" s="342"/>
      <c r="H55" s="342">
        <v>3.1</v>
      </c>
      <c r="I55" s="342" t="s">
        <v>39</v>
      </c>
      <c r="J55" s="342"/>
      <c r="K55" s="385">
        <f>K54</f>
        <v>8</v>
      </c>
      <c r="L55" s="342"/>
      <c r="M55" s="342"/>
      <c r="N55" s="342"/>
      <c r="O55" s="342"/>
      <c r="P55" s="342"/>
      <c r="Q55" s="342"/>
      <c r="R55" s="342"/>
      <c r="S55" s="342"/>
      <c r="T55" s="365" t="s">
        <v>40</v>
      </c>
      <c r="U55" s="387">
        <f t="shared" si="0"/>
        <v>24.8</v>
      </c>
    </row>
    <row r="56" spans="1:21" x14ac:dyDescent="0.35">
      <c r="A56" s="713">
        <v>15</v>
      </c>
      <c r="B56" s="743" t="s">
        <v>300</v>
      </c>
      <c r="C56" s="757" t="s">
        <v>301</v>
      </c>
      <c r="D56" s="758"/>
      <c r="E56" s="758"/>
      <c r="F56" s="759"/>
      <c r="G56" s="343"/>
      <c r="H56" s="343"/>
      <c r="I56" s="343"/>
      <c r="J56" s="343"/>
      <c r="K56" s="343"/>
      <c r="L56" s="343"/>
      <c r="M56" s="358"/>
      <c r="N56" s="337"/>
      <c r="O56" s="343"/>
      <c r="P56" s="343"/>
      <c r="Q56" s="343"/>
      <c r="R56" s="343"/>
      <c r="S56" s="343"/>
      <c r="T56" s="359"/>
      <c r="U56" s="383"/>
    </row>
    <row r="57" spans="1:21" x14ac:dyDescent="0.35">
      <c r="A57" s="714"/>
      <c r="B57" s="714"/>
      <c r="C57" s="726"/>
      <c r="D57" s="738"/>
      <c r="E57" s="738"/>
      <c r="F57" s="751"/>
      <c r="G57" s="342"/>
      <c r="H57" s="342"/>
      <c r="I57" s="342"/>
      <c r="J57" s="342"/>
      <c r="K57" s="342"/>
      <c r="L57" s="342"/>
      <c r="M57" s="333"/>
      <c r="N57" s="344"/>
      <c r="O57" s="342"/>
      <c r="P57" s="342"/>
      <c r="Q57" s="342"/>
      <c r="R57" s="342"/>
      <c r="S57" s="342"/>
      <c r="T57" s="361"/>
      <c r="U57" s="384"/>
    </row>
    <row r="58" spans="1:21" x14ac:dyDescent="0.35">
      <c r="A58" s="714"/>
      <c r="B58" s="714"/>
      <c r="C58" s="726"/>
      <c r="D58" s="738"/>
      <c r="E58" s="738"/>
      <c r="F58" s="751"/>
      <c r="G58" s="342"/>
      <c r="H58" s="342">
        <v>162.1</v>
      </c>
      <c r="I58" s="333" t="s">
        <v>39</v>
      </c>
      <c r="J58" s="342"/>
      <c r="K58" s="385">
        <v>4</v>
      </c>
      <c r="L58" s="342"/>
      <c r="M58" s="333"/>
      <c r="N58" s="344"/>
      <c r="O58" s="342"/>
      <c r="P58" s="342"/>
      <c r="Q58" s="342"/>
      <c r="R58" s="342"/>
      <c r="S58" s="342"/>
      <c r="T58" s="361" t="s">
        <v>40</v>
      </c>
      <c r="U58" s="384">
        <f>H58*K58</f>
        <v>648.4</v>
      </c>
    </row>
    <row r="59" spans="1:21" x14ac:dyDescent="0.35">
      <c r="A59" s="714"/>
      <c r="B59" s="714"/>
      <c r="C59" s="726"/>
      <c r="D59" s="738"/>
      <c r="E59" s="738"/>
      <c r="F59" s="751"/>
      <c r="G59" s="342"/>
      <c r="H59" s="342"/>
      <c r="I59" s="342"/>
      <c r="J59" s="342"/>
      <c r="K59" s="342"/>
      <c r="L59" s="342"/>
      <c r="M59" s="333"/>
      <c r="N59" s="344"/>
      <c r="O59" s="342"/>
      <c r="P59" s="342"/>
      <c r="Q59" s="342"/>
      <c r="R59" s="342"/>
      <c r="S59" s="342"/>
      <c r="T59" s="361"/>
      <c r="U59" s="384"/>
    </row>
    <row r="60" spans="1:21" ht="15" thickBot="1" x14ac:dyDescent="0.4">
      <c r="A60" s="715"/>
      <c r="B60" s="715"/>
      <c r="C60" s="727"/>
      <c r="D60" s="739"/>
      <c r="E60" s="739"/>
      <c r="F60" s="752"/>
      <c r="G60" s="345"/>
      <c r="H60" s="345"/>
      <c r="I60" s="345"/>
      <c r="J60" s="345"/>
      <c r="K60" s="345"/>
      <c r="L60" s="345"/>
      <c r="M60" s="345"/>
      <c r="N60" s="345"/>
      <c r="O60" s="345"/>
      <c r="P60" s="345"/>
      <c r="Q60" s="345"/>
      <c r="R60" s="345"/>
      <c r="S60" s="345"/>
      <c r="T60" s="389"/>
      <c r="U60" s="374"/>
    </row>
    <row r="61" spans="1:21" x14ac:dyDescent="0.35">
      <c r="A61" s="743">
        <v>16</v>
      </c>
      <c r="B61" s="743" t="s">
        <v>302</v>
      </c>
      <c r="C61" s="757" t="s">
        <v>303</v>
      </c>
      <c r="D61" s="758"/>
      <c r="E61" s="758"/>
      <c r="F61" s="759"/>
      <c r="G61" s="342"/>
      <c r="H61" s="342"/>
      <c r="I61" s="342"/>
      <c r="J61" s="342"/>
      <c r="K61" s="342"/>
      <c r="L61" s="342"/>
      <c r="M61" s="333"/>
      <c r="N61" s="344"/>
      <c r="O61" s="342"/>
      <c r="P61" s="342"/>
      <c r="Q61" s="342"/>
      <c r="R61" s="342"/>
      <c r="S61" s="342"/>
      <c r="T61" s="361"/>
      <c r="U61" s="362"/>
    </row>
    <row r="62" spans="1:21" x14ac:dyDescent="0.35">
      <c r="A62" s="714"/>
      <c r="B62" s="714"/>
      <c r="C62" s="726"/>
      <c r="D62" s="738"/>
      <c r="E62" s="738"/>
      <c r="F62" s="751"/>
      <c r="G62" s="342"/>
      <c r="H62" s="342"/>
      <c r="I62" s="342"/>
      <c r="J62" s="342"/>
      <c r="K62" s="342"/>
      <c r="L62" s="342"/>
      <c r="M62" s="333"/>
      <c r="N62" s="344"/>
      <c r="O62" s="342"/>
      <c r="P62" s="342"/>
      <c r="Q62" s="342"/>
      <c r="R62" s="342"/>
      <c r="S62" s="342"/>
      <c r="T62" s="361"/>
      <c r="U62" s="362"/>
    </row>
    <row r="63" spans="1:21" x14ac:dyDescent="0.35">
      <c r="A63" s="714"/>
      <c r="B63" s="714"/>
      <c r="C63" s="726"/>
      <c r="D63" s="738"/>
      <c r="E63" s="738"/>
      <c r="F63" s="751"/>
      <c r="G63" s="342"/>
      <c r="H63" s="385">
        <v>1</v>
      </c>
      <c r="I63" s="333" t="s">
        <v>39</v>
      </c>
      <c r="J63" s="342"/>
      <c r="K63" s="342">
        <v>96.2</v>
      </c>
      <c r="L63" s="342"/>
      <c r="M63" s="333"/>
      <c r="N63" s="344"/>
      <c r="O63" s="342"/>
      <c r="P63" s="342"/>
      <c r="Q63" s="342"/>
      <c r="R63" s="342"/>
      <c r="S63" s="342"/>
      <c r="T63" s="361" t="s">
        <v>40</v>
      </c>
      <c r="U63" s="362">
        <f>H63*K63</f>
        <v>96.2</v>
      </c>
    </row>
    <row r="64" spans="1:21" x14ac:dyDescent="0.35">
      <c r="A64" s="714"/>
      <c r="B64" s="714"/>
      <c r="C64" s="726"/>
      <c r="D64" s="738"/>
      <c r="E64" s="738"/>
      <c r="F64" s="751"/>
      <c r="G64" s="342"/>
      <c r="H64" s="342"/>
      <c r="I64" s="342"/>
      <c r="J64" s="342"/>
      <c r="K64" s="342"/>
      <c r="L64" s="342"/>
      <c r="M64" s="333"/>
      <c r="N64" s="344"/>
      <c r="O64" s="342"/>
      <c r="P64" s="342"/>
      <c r="Q64" s="342"/>
      <c r="R64" s="342"/>
      <c r="S64" s="342"/>
      <c r="T64" s="361"/>
      <c r="U64" s="362"/>
    </row>
    <row r="65" spans="1:21" x14ac:dyDescent="0.35">
      <c r="A65" s="714"/>
      <c r="B65" s="714"/>
      <c r="C65" s="726"/>
      <c r="D65" s="738"/>
      <c r="E65" s="738"/>
      <c r="F65" s="751"/>
      <c r="G65" s="342"/>
      <c r="H65" s="342"/>
      <c r="I65" s="342"/>
      <c r="J65" s="342"/>
      <c r="K65" s="342"/>
      <c r="L65" s="342"/>
      <c r="M65" s="342"/>
      <c r="N65" s="342"/>
      <c r="O65" s="342"/>
      <c r="P65" s="342"/>
      <c r="Q65" s="342"/>
      <c r="R65" s="342"/>
      <c r="S65" s="342"/>
      <c r="T65" s="365"/>
      <c r="U65" s="361"/>
    </row>
    <row r="66" spans="1:21" ht="15" thickBot="1" x14ac:dyDescent="0.4">
      <c r="A66" s="715"/>
      <c r="B66" s="715"/>
      <c r="C66" s="727"/>
      <c r="D66" s="739"/>
      <c r="E66" s="739"/>
      <c r="F66" s="752"/>
      <c r="G66" s="345"/>
      <c r="H66" s="345"/>
      <c r="I66" s="345"/>
      <c r="J66" s="345"/>
      <c r="K66" s="345"/>
      <c r="L66" s="345"/>
      <c r="M66" s="345"/>
      <c r="N66" s="345"/>
      <c r="O66" s="345"/>
      <c r="P66" s="345"/>
      <c r="Q66" s="345"/>
      <c r="R66" s="345"/>
      <c r="S66" s="345"/>
      <c r="T66" s="389"/>
      <c r="U66" s="361"/>
    </row>
    <row r="67" spans="1:21" ht="15" thickBot="1" x14ac:dyDescent="0.4">
      <c r="A67" s="704" t="s">
        <v>48</v>
      </c>
      <c r="B67" s="705"/>
      <c r="C67" s="705"/>
      <c r="D67" s="705"/>
      <c r="E67" s="705"/>
      <c r="F67" s="705"/>
      <c r="G67" s="705"/>
      <c r="H67" s="705"/>
      <c r="I67" s="705"/>
      <c r="J67" s="705"/>
      <c r="K67" s="705"/>
      <c r="L67" s="705"/>
      <c r="M67" s="705"/>
      <c r="N67" s="705"/>
      <c r="O67" s="705"/>
      <c r="P67" s="705"/>
      <c r="Q67" s="705"/>
      <c r="R67" s="705"/>
      <c r="S67" s="705"/>
      <c r="T67" s="706"/>
      <c r="U67" s="390">
        <f>SUM(U45:U66)</f>
        <v>1130.2</v>
      </c>
    </row>
    <row r="68" spans="1:21" ht="15" thickBot="1" x14ac:dyDescent="0.4">
      <c r="A68" s="764" t="s">
        <v>49</v>
      </c>
      <c r="B68" s="765"/>
      <c r="C68" s="765"/>
      <c r="D68" s="765"/>
      <c r="E68" s="765"/>
      <c r="F68" s="765"/>
      <c r="G68" s="765"/>
      <c r="H68" s="765"/>
      <c r="I68" s="765"/>
      <c r="J68" s="765"/>
      <c r="K68" s="765"/>
      <c r="L68" s="765"/>
      <c r="M68" s="765"/>
      <c r="N68" s="765"/>
      <c r="O68" s="765"/>
      <c r="P68" s="765"/>
      <c r="Q68" s="765"/>
      <c r="R68" s="765"/>
      <c r="S68" s="765"/>
      <c r="T68" s="765"/>
      <c r="U68" s="766"/>
    </row>
    <row r="69" spans="1:21" x14ac:dyDescent="0.35">
      <c r="A69" s="743">
        <v>17</v>
      </c>
      <c r="B69" s="743" t="s">
        <v>274</v>
      </c>
      <c r="C69" s="757" t="s">
        <v>304</v>
      </c>
      <c r="D69" s="758"/>
      <c r="E69" s="758"/>
      <c r="F69" s="759"/>
      <c r="G69" s="343"/>
      <c r="H69" s="343"/>
      <c r="I69" s="343"/>
      <c r="J69" s="343"/>
      <c r="K69" s="343"/>
      <c r="L69" s="343"/>
      <c r="M69" s="358"/>
      <c r="N69" s="337"/>
      <c r="O69" s="343"/>
      <c r="P69" s="343"/>
      <c r="Q69" s="343"/>
      <c r="R69" s="343"/>
      <c r="S69" s="343"/>
      <c r="T69" s="359"/>
      <c r="U69" s="391"/>
    </row>
    <row r="70" spans="1:21" x14ac:dyDescent="0.35">
      <c r="A70" s="714"/>
      <c r="B70" s="714"/>
      <c r="C70" s="726"/>
      <c r="D70" s="738"/>
      <c r="E70" s="738"/>
      <c r="F70" s="751"/>
      <c r="G70" s="342"/>
      <c r="H70" s="342"/>
      <c r="I70" s="342"/>
      <c r="J70" s="342"/>
      <c r="K70" s="342"/>
      <c r="L70" s="342"/>
      <c r="M70" s="333"/>
      <c r="N70" s="344"/>
      <c r="O70" s="342"/>
      <c r="P70" s="342"/>
      <c r="Q70" s="342"/>
      <c r="R70" s="342"/>
      <c r="S70" s="342"/>
      <c r="T70" s="361"/>
      <c r="U70" s="392"/>
    </row>
    <row r="71" spans="1:21" x14ac:dyDescent="0.35">
      <c r="A71" s="714"/>
      <c r="B71" s="714"/>
      <c r="C71" s="726"/>
      <c r="D71" s="738"/>
      <c r="E71" s="738"/>
      <c r="F71" s="751"/>
      <c r="G71" s="342"/>
      <c r="H71" s="342"/>
      <c r="I71" s="393"/>
      <c r="J71" s="393"/>
      <c r="K71" s="342"/>
      <c r="L71" s="393"/>
      <c r="M71" s="393"/>
      <c r="N71" s="344"/>
      <c r="O71" s="342"/>
      <c r="P71" s="342"/>
      <c r="Q71" s="342"/>
      <c r="R71" s="342"/>
      <c r="S71" s="342"/>
      <c r="T71" s="361"/>
      <c r="U71" s="392"/>
    </row>
    <row r="72" spans="1:21" x14ac:dyDescent="0.35">
      <c r="A72" s="714"/>
      <c r="B72" s="714"/>
      <c r="C72" s="726"/>
      <c r="D72" s="738"/>
      <c r="E72" s="738"/>
      <c r="F72" s="751"/>
      <c r="G72" s="342"/>
      <c r="H72" s="342">
        <v>1.69</v>
      </c>
      <c r="I72" s="342" t="s">
        <v>39</v>
      </c>
      <c r="J72" s="342"/>
      <c r="K72" s="385">
        <f>K16</f>
        <v>4</v>
      </c>
      <c r="L72" s="341" t="s">
        <v>39</v>
      </c>
      <c r="M72" s="394">
        <v>1</v>
      </c>
      <c r="N72" s="344"/>
      <c r="O72" s="342"/>
      <c r="P72" s="342"/>
      <c r="Q72" s="342"/>
      <c r="R72" s="342"/>
      <c r="S72" s="342"/>
      <c r="T72" s="361" t="s">
        <v>40</v>
      </c>
      <c r="U72" s="392">
        <f>H72*K72</f>
        <v>6.76</v>
      </c>
    </row>
    <row r="73" spans="1:21" x14ac:dyDescent="0.35">
      <c r="A73" s="714"/>
      <c r="B73" s="714"/>
      <c r="C73" s="726"/>
      <c r="D73" s="738"/>
      <c r="E73" s="738"/>
      <c r="F73" s="751"/>
      <c r="G73" s="342"/>
      <c r="H73" s="342"/>
      <c r="I73" s="342"/>
      <c r="J73" s="342"/>
      <c r="K73" s="342"/>
      <c r="L73" s="342"/>
      <c r="M73" s="333"/>
      <c r="N73" s="344"/>
      <c r="O73" s="342"/>
      <c r="P73" s="342"/>
      <c r="Q73" s="342"/>
      <c r="R73" s="342"/>
      <c r="S73" s="342"/>
      <c r="T73" s="361"/>
      <c r="U73" s="392"/>
    </row>
    <row r="74" spans="1:21" ht="15" thickBot="1" x14ac:dyDescent="0.4">
      <c r="A74" s="715"/>
      <c r="B74" s="715"/>
      <c r="C74" s="727"/>
      <c r="D74" s="739"/>
      <c r="E74" s="739"/>
      <c r="F74" s="752"/>
      <c r="G74" s="342"/>
      <c r="H74" s="342"/>
      <c r="I74" s="342"/>
      <c r="J74" s="342"/>
      <c r="K74" s="342"/>
      <c r="L74" s="342"/>
      <c r="M74" s="342"/>
      <c r="N74" s="342"/>
      <c r="O74" s="342"/>
      <c r="P74" s="342"/>
      <c r="Q74" s="342"/>
      <c r="R74" s="342"/>
      <c r="S74" s="342"/>
      <c r="T74" s="365"/>
      <c r="U74" s="395"/>
    </row>
    <row r="75" spans="1:21" ht="70.5" thickBot="1" x14ac:dyDescent="0.4">
      <c r="A75" s="375">
        <v>18</v>
      </c>
      <c r="B75" s="347" t="s">
        <v>280</v>
      </c>
      <c r="C75" s="767" t="s">
        <v>305</v>
      </c>
      <c r="D75" s="768"/>
      <c r="E75" s="768"/>
      <c r="F75" s="769"/>
      <c r="G75" s="348"/>
      <c r="H75" s="348">
        <v>1.7</v>
      </c>
      <c r="I75" s="348" t="s">
        <v>39</v>
      </c>
      <c r="J75" s="348"/>
      <c r="K75" s="350">
        <f>K72</f>
        <v>4</v>
      </c>
      <c r="L75" s="348" t="s">
        <v>39</v>
      </c>
      <c r="M75" s="350">
        <v>0.6</v>
      </c>
      <c r="N75" s="348"/>
      <c r="O75" s="348"/>
      <c r="P75" s="348"/>
      <c r="Q75" s="348"/>
      <c r="R75" s="348"/>
      <c r="S75" s="348"/>
      <c r="T75" s="336" t="s">
        <v>40</v>
      </c>
      <c r="U75" s="396">
        <f>H75*K75*M75</f>
        <v>4.08</v>
      </c>
    </row>
    <row r="76" spans="1:21" x14ac:dyDescent="0.35">
      <c r="A76" s="753">
        <v>19</v>
      </c>
      <c r="B76" s="743" t="s">
        <v>306</v>
      </c>
      <c r="C76" s="757" t="s">
        <v>307</v>
      </c>
      <c r="D76" s="758"/>
      <c r="E76" s="758"/>
      <c r="F76" s="759"/>
      <c r="G76" s="397"/>
      <c r="H76" s="397"/>
      <c r="I76" s="397"/>
      <c r="J76" s="397"/>
      <c r="K76" s="397"/>
      <c r="L76" s="397"/>
      <c r="M76" s="397"/>
      <c r="N76" s="397"/>
      <c r="O76" s="397"/>
      <c r="P76" s="397"/>
      <c r="Q76" s="397"/>
      <c r="R76" s="397"/>
      <c r="S76" s="397"/>
      <c r="T76" s="398"/>
      <c r="U76" s="395"/>
    </row>
    <row r="77" spans="1:21" x14ac:dyDescent="0.35">
      <c r="A77" s="754"/>
      <c r="B77" s="714"/>
      <c r="C77" s="726"/>
      <c r="D77" s="738"/>
      <c r="E77" s="738"/>
      <c r="F77" s="751"/>
      <c r="G77" s="397"/>
      <c r="H77" s="397"/>
      <c r="I77" s="397"/>
      <c r="J77" s="397"/>
      <c r="K77" s="397"/>
      <c r="L77" s="397"/>
      <c r="M77" s="397"/>
      <c r="N77" s="397"/>
      <c r="O77" s="397"/>
      <c r="P77" s="397"/>
      <c r="Q77" s="397"/>
      <c r="R77" s="397"/>
      <c r="S77" s="397"/>
      <c r="T77" s="398"/>
      <c r="U77" s="395"/>
    </row>
    <row r="78" spans="1:21" x14ac:dyDescent="0.35">
      <c r="A78" s="754"/>
      <c r="B78" s="714"/>
      <c r="C78" s="726"/>
      <c r="D78" s="738"/>
      <c r="E78" s="738"/>
      <c r="F78" s="751"/>
      <c r="G78" s="397"/>
      <c r="H78" s="399">
        <v>0.2</v>
      </c>
      <c r="I78" s="342" t="s">
        <v>39</v>
      </c>
      <c r="J78" s="342"/>
      <c r="K78" s="400">
        <f>U67</f>
        <v>1130.2</v>
      </c>
      <c r="L78" s="342"/>
      <c r="M78" s="342"/>
      <c r="N78" s="397"/>
      <c r="O78" s="397"/>
      <c r="P78" s="397"/>
      <c r="Q78" s="397"/>
      <c r="R78" s="397"/>
      <c r="S78" s="397"/>
      <c r="T78" s="365" t="s">
        <v>40</v>
      </c>
      <c r="U78" s="392">
        <f>H78*K78</f>
        <v>226.04000000000002</v>
      </c>
    </row>
    <row r="79" spans="1:21" x14ac:dyDescent="0.35">
      <c r="A79" s="755"/>
      <c r="B79" s="756"/>
      <c r="C79" s="760"/>
      <c r="D79" s="761"/>
      <c r="E79" s="761"/>
      <c r="F79" s="762"/>
      <c r="G79" s="401"/>
      <c r="H79" s="401"/>
      <c r="I79" s="401"/>
      <c r="J79" s="401"/>
      <c r="K79" s="401"/>
      <c r="L79" s="401"/>
      <c r="M79" s="401"/>
      <c r="N79" s="401"/>
      <c r="O79" s="401"/>
      <c r="P79" s="401"/>
      <c r="Q79" s="401"/>
      <c r="R79" s="401"/>
      <c r="S79" s="401"/>
      <c r="T79" s="402"/>
      <c r="U79" s="403"/>
    </row>
    <row r="80" spans="1:21" x14ac:dyDescent="0.35">
      <c r="A80" s="763">
        <v>20</v>
      </c>
      <c r="B80" s="713" t="s">
        <v>308</v>
      </c>
      <c r="C80" s="725" t="s">
        <v>309</v>
      </c>
      <c r="D80" s="737"/>
      <c r="E80" s="737"/>
      <c r="F80" s="750"/>
      <c r="G80" s="404"/>
      <c r="H80" s="404"/>
      <c r="I80" s="404"/>
      <c r="J80" s="404"/>
      <c r="K80" s="404"/>
      <c r="L80" s="404"/>
      <c r="M80" s="405"/>
      <c r="N80" s="406"/>
      <c r="O80" s="404"/>
      <c r="P80" s="404"/>
      <c r="Q80" s="404"/>
      <c r="R80" s="404"/>
      <c r="S80" s="404"/>
      <c r="T80" s="407"/>
      <c r="U80" s="408"/>
    </row>
    <row r="81" spans="1:21" x14ac:dyDescent="0.35">
      <c r="A81" s="754"/>
      <c r="B81" s="714"/>
      <c r="C81" s="726"/>
      <c r="D81" s="738"/>
      <c r="E81" s="738"/>
      <c r="F81" s="751"/>
      <c r="G81" s="342"/>
      <c r="H81" s="342"/>
      <c r="I81" s="342"/>
      <c r="J81" s="342"/>
      <c r="K81" s="342"/>
      <c r="L81" s="342"/>
      <c r="M81" s="333"/>
      <c r="N81" s="344"/>
      <c r="O81" s="342"/>
      <c r="P81" s="342"/>
      <c r="Q81" s="342"/>
      <c r="R81" s="342"/>
      <c r="S81" s="342"/>
      <c r="T81" s="361"/>
      <c r="U81" s="392"/>
    </row>
    <row r="82" spans="1:21" x14ac:dyDescent="0.35">
      <c r="A82" s="754"/>
      <c r="B82" s="714"/>
      <c r="C82" s="726"/>
      <c r="D82" s="738"/>
      <c r="E82" s="738"/>
      <c r="F82" s="751"/>
      <c r="G82" s="342"/>
      <c r="H82" s="363">
        <v>3.6</v>
      </c>
      <c r="I82" s="333" t="s">
        <v>39</v>
      </c>
      <c r="J82" s="342"/>
      <c r="K82" s="342">
        <f>5/10</f>
        <v>0.5</v>
      </c>
      <c r="L82" s="342"/>
      <c r="M82" s="333"/>
      <c r="N82" s="344"/>
      <c r="O82" s="342"/>
      <c r="P82" s="342"/>
      <c r="Q82" s="342"/>
      <c r="R82" s="342"/>
      <c r="S82" s="342"/>
      <c r="T82" s="361" t="s">
        <v>40</v>
      </c>
      <c r="U82" s="392">
        <f>H82*K82</f>
        <v>1.8</v>
      </c>
    </row>
    <row r="83" spans="1:21" x14ac:dyDescent="0.35">
      <c r="A83" s="755"/>
      <c r="B83" s="756"/>
      <c r="C83" s="760"/>
      <c r="D83" s="761"/>
      <c r="E83" s="761"/>
      <c r="F83" s="762"/>
      <c r="G83" s="409"/>
      <c r="H83" s="409"/>
      <c r="I83" s="409"/>
      <c r="J83" s="409"/>
      <c r="K83" s="409"/>
      <c r="L83" s="409"/>
      <c r="M83" s="410"/>
      <c r="N83" s="411"/>
      <c r="O83" s="409"/>
      <c r="P83" s="409"/>
      <c r="Q83" s="409"/>
      <c r="R83" s="409"/>
      <c r="S83" s="409"/>
      <c r="T83" s="412"/>
      <c r="U83" s="413"/>
    </row>
    <row r="84" spans="1:21" x14ac:dyDescent="0.35">
      <c r="A84" s="713">
        <v>21</v>
      </c>
      <c r="B84" s="713" t="s">
        <v>310</v>
      </c>
      <c r="C84" s="725" t="s">
        <v>311</v>
      </c>
      <c r="D84" s="737"/>
      <c r="E84" s="737"/>
      <c r="F84" s="750"/>
      <c r="G84" s="342"/>
      <c r="H84" s="342"/>
      <c r="I84" s="342"/>
      <c r="J84" s="342"/>
      <c r="K84" s="342"/>
      <c r="L84" s="342"/>
      <c r="M84" s="333"/>
      <c r="N84" s="344"/>
      <c r="O84" s="342"/>
      <c r="P84" s="342"/>
      <c r="Q84" s="342"/>
      <c r="R84" s="342"/>
      <c r="S84" s="342"/>
      <c r="T84" s="361"/>
      <c r="U84" s="392"/>
    </row>
    <row r="85" spans="1:21" x14ac:dyDescent="0.35">
      <c r="A85" s="714"/>
      <c r="B85" s="714"/>
      <c r="C85" s="726"/>
      <c r="D85" s="738"/>
      <c r="E85" s="738"/>
      <c r="F85" s="751"/>
      <c r="G85" s="342"/>
      <c r="H85" s="342"/>
      <c r="I85" s="342"/>
      <c r="J85" s="342"/>
      <c r="K85" s="342"/>
      <c r="L85" s="342"/>
      <c r="M85" s="333"/>
      <c r="N85" s="344"/>
      <c r="O85" s="342"/>
      <c r="P85" s="342"/>
      <c r="Q85" s="342"/>
      <c r="R85" s="342"/>
      <c r="S85" s="342"/>
      <c r="T85" s="361"/>
      <c r="U85" s="392"/>
    </row>
    <row r="86" spans="1:21" x14ac:dyDescent="0.35">
      <c r="A86" s="714"/>
      <c r="B86" s="714"/>
      <c r="C86" s="726"/>
      <c r="D86" s="738"/>
      <c r="E86" s="738"/>
      <c r="F86" s="751"/>
      <c r="G86" s="342"/>
      <c r="H86" s="363">
        <v>3.6</v>
      </c>
      <c r="I86" s="333" t="s">
        <v>39</v>
      </c>
      <c r="J86" s="342"/>
      <c r="K86" s="342">
        <f>5/10</f>
        <v>0.5</v>
      </c>
      <c r="L86" s="342"/>
      <c r="M86" s="333"/>
      <c r="N86" s="344"/>
      <c r="O86" s="342"/>
      <c r="P86" s="342"/>
      <c r="Q86" s="342"/>
      <c r="R86" s="342"/>
      <c r="S86" s="342"/>
      <c r="T86" s="361" t="s">
        <v>40</v>
      </c>
      <c r="U86" s="392">
        <f>H86*K86</f>
        <v>1.8</v>
      </c>
    </row>
    <row r="87" spans="1:21" x14ac:dyDescent="0.35">
      <c r="A87" s="714"/>
      <c r="B87" s="714"/>
      <c r="C87" s="726"/>
      <c r="D87" s="738"/>
      <c r="E87" s="738"/>
      <c r="F87" s="751"/>
      <c r="G87" s="342"/>
      <c r="H87" s="342"/>
      <c r="I87" s="342"/>
      <c r="J87" s="342"/>
      <c r="K87" s="342"/>
      <c r="L87" s="342"/>
      <c r="M87" s="333"/>
      <c r="N87" s="344"/>
      <c r="O87" s="342"/>
      <c r="P87" s="342"/>
      <c r="Q87" s="342"/>
      <c r="R87" s="342"/>
      <c r="S87" s="342"/>
      <c r="T87" s="361"/>
      <c r="U87" s="392"/>
    </row>
    <row r="88" spans="1:21" x14ac:dyDescent="0.35">
      <c r="A88" s="714"/>
      <c r="B88" s="714"/>
      <c r="C88" s="726"/>
      <c r="D88" s="738"/>
      <c r="E88" s="738"/>
      <c r="F88" s="751"/>
      <c r="G88" s="342"/>
      <c r="H88" s="342"/>
      <c r="I88" s="342"/>
      <c r="J88" s="342"/>
      <c r="K88" s="342"/>
      <c r="L88" s="342"/>
      <c r="M88" s="333"/>
      <c r="N88" s="344"/>
      <c r="O88" s="342"/>
      <c r="P88" s="342"/>
      <c r="Q88" s="342"/>
      <c r="R88" s="342"/>
      <c r="S88" s="342"/>
      <c r="T88" s="361"/>
      <c r="U88" s="392"/>
    </row>
    <row r="89" spans="1:21" x14ac:dyDescent="0.35">
      <c r="A89" s="714">
        <v>22</v>
      </c>
      <c r="B89" s="714" t="s">
        <v>312</v>
      </c>
      <c r="C89" s="726" t="s">
        <v>313</v>
      </c>
      <c r="D89" s="738"/>
      <c r="E89" s="738"/>
      <c r="F89" s="751"/>
      <c r="G89" s="342"/>
      <c r="H89" s="342"/>
      <c r="I89" s="342"/>
      <c r="J89" s="342"/>
      <c r="K89" s="342"/>
      <c r="L89" s="342"/>
      <c r="M89" s="333"/>
      <c r="N89" s="344"/>
      <c r="O89" s="342"/>
      <c r="P89" s="342"/>
      <c r="Q89" s="342"/>
      <c r="R89" s="342"/>
      <c r="S89" s="342"/>
      <c r="T89" s="361"/>
      <c r="U89" s="392"/>
    </row>
    <row r="90" spans="1:21" x14ac:dyDescent="0.35">
      <c r="A90" s="714"/>
      <c r="B90" s="714"/>
      <c r="C90" s="726"/>
      <c r="D90" s="738"/>
      <c r="E90" s="738"/>
      <c r="F90" s="751"/>
      <c r="G90" s="342"/>
      <c r="H90" s="342"/>
      <c r="I90" s="342"/>
      <c r="J90" s="342"/>
      <c r="K90" s="342"/>
      <c r="L90" s="342"/>
      <c r="M90" s="333"/>
      <c r="N90" s="344"/>
      <c r="O90" s="342"/>
      <c r="P90" s="342"/>
      <c r="Q90" s="342"/>
      <c r="R90" s="342"/>
      <c r="S90" s="342"/>
      <c r="T90" s="361"/>
      <c r="U90" s="392"/>
    </row>
    <row r="91" spans="1:21" x14ac:dyDescent="0.35">
      <c r="A91" s="714"/>
      <c r="B91" s="714"/>
      <c r="C91" s="726"/>
      <c r="D91" s="738"/>
      <c r="E91" s="738"/>
      <c r="F91" s="751"/>
      <c r="G91" s="342"/>
      <c r="H91" s="363">
        <v>200</v>
      </c>
      <c r="I91" s="333" t="s">
        <v>39</v>
      </c>
      <c r="J91" s="342"/>
      <c r="K91" s="342">
        <v>1.25</v>
      </c>
      <c r="L91" s="342"/>
      <c r="M91" s="333"/>
      <c r="N91" s="344"/>
      <c r="O91" s="342"/>
      <c r="P91" s="342"/>
      <c r="Q91" s="342"/>
      <c r="R91" s="342"/>
      <c r="S91" s="342"/>
      <c r="T91" s="361" t="s">
        <v>40</v>
      </c>
      <c r="U91" s="392">
        <f>H91*K91</f>
        <v>250</v>
      </c>
    </row>
    <row r="92" spans="1:21" x14ac:dyDescent="0.35">
      <c r="A92" s="714"/>
      <c r="B92" s="714"/>
      <c r="C92" s="726"/>
      <c r="D92" s="738"/>
      <c r="E92" s="738"/>
      <c r="F92" s="751"/>
      <c r="G92" s="342"/>
      <c r="H92" s="342"/>
      <c r="I92" s="342"/>
      <c r="J92" s="342"/>
      <c r="K92" s="342"/>
      <c r="L92" s="342"/>
      <c r="M92" s="333"/>
      <c r="N92" s="344"/>
      <c r="O92" s="342"/>
      <c r="P92" s="342"/>
      <c r="Q92" s="342"/>
      <c r="R92" s="342"/>
      <c r="S92" s="342"/>
      <c r="T92" s="361"/>
      <c r="U92" s="392"/>
    </row>
    <row r="93" spans="1:21" ht="15" thickBot="1" x14ac:dyDescent="0.4">
      <c r="A93" s="715"/>
      <c r="B93" s="715"/>
      <c r="C93" s="727"/>
      <c r="D93" s="739"/>
      <c r="E93" s="739"/>
      <c r="F93" s="752"/>
      <c r="G93" s="345"/>
      <c r="H93" s="345"/>
      <c r="I93" s="345"/>
      <c r="J93" s="345"/>
      <c r="K93" s="345"/>
      <c r="L93" s="345"/>
      <c r="M93" s="371"/>
      <c r="N93" s="373"/>
      <c r="O93" s="345"/>
      <c r="P93" s="345"/>
      <c r="Q93" s="345"/>
      <c r="R93" s="345"/>
      <c r="S93" s="345"/>
      <c r="T93" s="374"/>
      <c r="U93" s="414"/>
    </row>
    <row r="94" spans="1:21" ht="15" thickBot="1" x14ac:dyDescent="0.4">
      <c r="A94" s="740" t="s">
        <v>50</v>
      </c>
      <c r="B94" s="741"/>
      <c r="C94" s="741"/>
      <c r="D94" s="741"/>
      <c r="E94" s="741"/>
      <c r="F94" s="741"/>
      <c r="G94" s="741"/>
      <c r="H94" s="741"/>
      <c r="I94" s="741"/>
      <c r="J94" s="741"/>
      <c r="K94" s="741"/>
      <c r="L94" s="741"/>
      <c r="M94" s="741"/>
      <c r="N94" s="741"/>
      <c r="O94" s="741"/>
      <c r="P94" s="741"/>
      <c r="Q94" s="741"/>
      <c r="R94" s="741"/>
      <c r="S94" s="741"/>
      <c r="T94" s="742"/>
      <c r="U94" s="415">
        <f>SUM(U69:U93)</f>
        <v>490.48</v>
      </c>
    </row>
    <row r="95" spans="1:21" x14ac:dyDescent="0.35">
      <c r="A95" s="743">
        <v>23</v>
      </c>
      <c r="B95" s="743" t="s">
        <v>314</v>
      </c>
      <c r="C95" s="744" t="s">
        <v>315</v>
      </c>
      <c r="D95" s="745"/>
      <c r="E95" s="745"/>
      <c r="F95" s="746"/>
      <c r="G95" s="366"/>
      <c r="H95" s="416">
        <f>U94</f>
        <v>490.48</v>
      </c>
      <c r="I95" s="358" t="s">
        <v>39</v>
      </c>
      <c r="J95" s="343"/>
      <c r="K95" s="417">
        <v>0.21</v>
      </c>
      <c r="L95" s="343"/>
      <c r="M95" s="358"/>
      <c r="N95" s="337"/>
      <c r="O95" s="343"/>
      <c r="P95" s="343"/>
      <c r="Q95" s="343"/>
      <c r="R95" s="343"/>
      <c r="S95" s="343"/>
      <c r="T95" s="359" t="s">
        <v>40</v>
      </c>
      <c r="U95" s="418">
        <f>H95*K95</f>
        <v>103.0008</v>
      </c>
    </row>
    <row r="96" spans="1:21" ht="15" thickBot="1" x14ac:dyDescent="0.4">
      <c r="A96" s="715"/>
      <c r="B96" s="715"/>
      <c r="C96" s="419"/>
      <c r="D96" s="420"/>
      <c r="E96" s="420"/>
      <c r="F96" s="421"/>
      <c r="G96" s="747"/>
      <c r="H96" s="748"/>
      <c r="I96" s="748"/>
      <c r="J96" s="748"/>
      <c r="K96" s="748"/>
      <c r="L96" s="748"/>
      <c r="M96" s="748"/>
      <c r="N96" s="748"/>
      <c r="O96" s="748"/>
      <c r="P96" s="748"/>
      <c r="Q96" s="748"/>
      <c r="R96" s="748"/>
      <c r="S96" s="748"/>
      <c r="T96" s="749"/>
      <c r="U96" s="422"/>
    </row>
    <row r="97" spans="1:21" x14ac:dyDescent="0.35">
      <c r="A97" s="743">
        <v>24</v>
      </c>
      <c r="B97" s="743" t="s">
        <v>316</v>
      </c>
      <c r="C97" s="744" t="s">
        <v>317</v>
      </c>
      <c r="D97" s="745"/>
      <c r="E97" s="745"/>
      <c r="F97" s="746"/>
      <c r="G97" s="366"/>
      <c r="H97" s="416">
        <f>U43+U67+U94</f>
        <v>1899.8299400000001</v>
      </c>
      <c r="I97" s="358" t="s">
        <v>39</v>
      </c>
      <c r="J97" s="343"/>
      <c r="K97" s="417">
        <v>0.1</v>
      </c>
      <c r="L97" s="343"/>
      <c r="M97" s="358"/>
      <c r="N97" s="337"/>
      <c r="O97" s="343"/>
      <c r="P97" s="343"/>
      <c r="Q97" s="343"/>
      <c r="R97" s="343"/>
      <c r="S97" s="343"/>
      <c r="T97" s="359" t="s">
        <v>40</v>
      </c>
      <c r="U97" s="418">
        <f>H97*K97</f>
        <v>189.98299400000002</v>
      </c>
    </row>
    <row r="98" spans="1:21" ht="15" thickBot="1" x14ac:dyDescent="0.4">
      <c r="A98" s="715"/>
      <c r="B98" s="715"/>
      <c r="C98" s="419"/>
      <c r="D98" s="420"/>
      <c r="E98" s="420"/>
      <c r="F98" s="421"/>
      <c r="G98" s="747"/>
      <c r="H98" s="748"/>
      <c r="I98" s="748"/>
      <c r="J98" s="748"/>
      <c r="K98" s="748"/>
      <c r="L98" s="748"/>
      <c r="M98" s="748"/>
      <c r="N98" s="748"/>
      <c r="O98" s="748"/>
      <c r="P98" s="748"/>
      <c r="Q98" s="748"/>
      <c r="R98" s="748"/>
      <c r="S98" s="748"/>
      <c r="T98" s="749"/>
      <c r="U98" s="422"/>
    </row>
    <row r="99" spans="1:21" ht="15" thickBot="1" x14ac:dyDescent="0.4">
      <c r="A99" s="704" t="s">
        <v>318</v>
      </c>
      <c r="B99" s="705"/>
      <c r="C99" s="705"/>
      <c r="D99" s="705"/>
      <c r="E99" s="705"/>
      <c r="F99" s="705"/>
      <c r="G99" s="705"/>
      <c r="H99" s="705"/>
      <c r="I99" s="705"/>
      <c r="J99" s="705"/>
      <c r="K99" s="705"/>
      <c r="L99" s="705"/>
      <c r="M99" s="705"/>
      <c r="N99" s="705"/>
      <c r="O99" s="705"/>
      <c r="P99" s="705"/>
      <c r="Q99" s="705"/>
      <c r="R99" s="705"/>
      <c r="S99" s="705"/>
      <c r="T99" s="706"/>
      <c r="U99" s="423">
        <f>U43+U67+U94+U95+U97</f>
        <v>2192.8137340000003</v>
      </c>
    </row>
    <row r="100" spans="1:21" x14ac:dyDescent="0.35">
      <c r="A100" s="424">
        <v>24</v>
      </c>
      <c r="B100" s="707" t="s">
        <v>319</v>
      </c>
      <c r="C100" s="708"/>
      <c r="D100" s="708"/>
      <c r="E100" s="708"/>
      <c r="F100" s="709"/>
      <c r="G100" s="425"/>
      <c r="H100" s="426">
        <f>U99</f>
        <v>2192.8137340000003</v>
      </c>
      <c r="I100" s="427" t="s">
        <v>39</v>
      </c>
      <c r="J100" s="427"/>
      <c r="K100" s="428">
        <v>1</v>
      </c>
      <c r="L100" s="429"/>
      <c r="M100" s="429"/>
      <c r="N100" s="430"/>
      <c r="O100" s="430"/>
      <c r="P100" s="430"/>
      <c r="Q100" s="430"/>
      <c r="R100" s="430"/>
      <c r="S100" s="430"/>
      <c r="T100" s="431" t="s">
        <v>40</v>
      </c>
      <c r="U100" s="432">
        <f>H100*K100</f>
        <v>2192.8137340000003</v>
      </c>
    </row>
    <row r="101" spans="1:21" ht="15" thickBot="1" x14ac:dyDescent="0.4">
      <c r="A101" s="433"/>
      <c r="B101" s="367"/>
      <c r="C101" s="342"/>
      <c r="D101" s="342"/>
      <c r="E101" s="342"/>
      <c r="F101" s="365"/>
      <c r="G101" s="434"/>
      <c r="H101" s="435"/>
      <c r="I101" s="436"/>
      <c r="J101" s="436"/>
      <c r="K101" s="437"/>
      <c r="L101" s="304"/>
      <c r="M101" s="304"/>
      <c r="N101" s="438"/>
      <c r="O101" s="438"/>
      <c r="P101" s="438"/>
      <c r="Q101" s="438"/>
      <c r="R101" s="438"/>
      <c r="S101" s="438"/>
      <c r="T101" s="439"/>
      <c r="U101" s="440"/>
    </row>
    <row r="102" spans="1:21" ht="33" customHeight="1" x14ac:dyDescent="0.35">
      <c r="A102" s="433">
        <v>25</v>
      </c>
      <c r="B102" s="710" t="s">
        <v>51</v>
      </c>
      <c r="C102" s="711"/>
      <c r="D102" s="711"/>
      <c r="E102" s="711"/>
      <c r="F102" s="712"/>
      <c r="G102" s="434"/>
      <c r="H102" s="435">
        <f>U99</f>
        <v>2192.8137340000003</v>
      </c>
      <c r="I102" s="436" t="s">
        <v>39</v>
      </c>
      <c r="J102" s="436"/>
      <c r="K102" s="441">
        <v>1.2</v>
      </c>
      <c r="L102" s="304"/>
      <c r="M102" s="304"/>
      <c r="N102" s="438"/>
      <c r="O102" s="438"/>
      <c r="P102" s="438"/>
      <c r="Q102" s="438"/>
      <c r="R102" s="438"/>
      <c r="S102" s="438"/>
      <c r="T102" s="359" t="s">
        <v>40</v>
      </c>
      <c r="U102" s="440">
        <f>H102*K102</f>
        <v>2631.3764808000001</v>
      </c>
    </row>
    <row r="103" spans="1:21" x14ac:dyDescent="0.35">
      <c r="A103" s="433">
        <v>26</v>
      </c>
      <c r="B103" s="367"/>
      <c r="C103" s="342"/>
      <c r="D103" s="342"/>
      <c r="E103" s="342"/>
      <c r="F103" s="365"/>
      <c r="G103" s="434"/>
      <c r="H103" s="435"/>
      <c r="I103" s="436"/>
      <c r="J103" s="436"/>
      <c r="K103" s="437"/>
      <c r="L103" s="304"/>
      <c r="M103" s="304"/>
      <c r="N103" s="438"/>
      <c r="O103" s="438"/>
      <c r="P103" s="438"/>
      <c r="Q103" s="438"/>
      <c r="R103" s="438"/>
      <c r="S103" s="438"/>
      <c r="T103" s="439"/>
      <c r="U103" s="440"/>
    </row>
    <row r="104" spans="1:21" x14ac:dyDescent="0.35">
      <c r="A104" s="713">
        <v>26</v>
      </c>
      <c r="B104" s="716" t="s">
        <v>325</v>
      </c>
      <c r="C104" s="717"/>
      <c r="D104" s="717"/>
      <c r="E104" s="717"/>
      <c r="F104" s="718"/>
      <c r="G104" s="725"/>
      <c r="H104" s="728">
        <f>U102</f>
        <v>2631.3764808000001</v>
      </c>
      <c r="I104" s="731" t="s">
        <v>39</v>
      </c>
      <c r="J104" s="404"/>
      <c r="K104" s="734">
        <v>58.26</v>
      </c>
      <c r="L104" s="737"/>
      <c r="M104" s="691"/>
      <c r="N104" s="406"/>
      <c r="O104" s="404"/>
      <c r="P104" s="404"/>
      <c r="Q104" s="404"/>
      <c r="R104" s="404"/>
      <c r="S104" s="404"/>
      <c r="T104" s="694" t="s">
        <v>40</v>
      </c>
      <c r="U104" s="697">
        <f>H104*K104</f>
        <v>153303.99377140799</v>
      </c>
    </row>
    <row r="105" spans="1:21" x14ac:dyDescent="0.35">
      <c r="A105" s="714"/>
      <c r="B105" s="719"/>
      <c r="C105" s="720"/>
      <c r="D105" s="720"/>
      <c r="E105" s="720"/>
      <c r="F105" s="721"/>
      <c r="G105" s="726"/>
      <c r="H105" s="729"/>
      <c r="I105" s="732"/>
      <c r="J105" s="342"/>
      <c r="K105" s="735"/>
      <c r="L105" s="738"/>
      <c r="M105" s="692"/>
      <c r="N105" s="344"/>
      <c r="O105" s="342"/>
      <c r="P105" s="342"/>
      <c r="Q105" s="342"/>
      <c r="R105" s="342"/>
      <c r="S105" s="342"/>
      <c r="T105" s="695"/>
      <c r="U105" s="698"/>
    </row>
    <row r="106" spans="1:21" ht="15" thickBot="1" x14ac:dyDescent="0.4">
      <c r="A106" s="715"/>
      <c r="B106" s="722"/>
      <c r="C106" s="723"/>
      <c r="D106" s="723"/>
      <c r="E106" s="723"/>
      <c r="F106" s="724"/>
      <c r="G106" s="727"/>
      <c r="H106" s="730"/>
      <c r="I106" s="733"/>
      <c r="J106" s="342"/>
      <c r="K106" s="736"/>
      <c r="L106" s="739"/>
      <c r="M106" s="693"/>
      <c r="N106" s="344"/>
      <c r="O106" s="342"/>
      <c r="P106" s="342"/>
      <c r="Q106" s="342"/>
      <c r="R106" s="342"/>
      <c r="S106" s="342"/>
      <c r="T106" s="696"/>
      <c r="U106" s="699"/>
    </row>
    <row r="107" spans="1:21" ht="15" thickBot="1" x14ac:dyDescent="0.4">
      <c r="A107" s="442">
        <v>27</v>
      </c>
      <c r="B107" s="700" t="s">
        <v>320</v>
      </c>
      <c r="C107" s="701"/>
      <c r="D107" s="701"/>
      <c r="E107" s="701"/>
      <c r="F107" s="702"/>
      <c r="G107" s="443"/>
      <c r="H107" s="444">
        <f>U104</f>
        <v>153303.99377140799</v>
      </c>
      <c r="I107" s="445" t="s">
        <v>99</v>
      </c>
      <c r="J107" s="445"/>
      <c r="K107" s="446">
        <v>5.27</v>
      </c>
      <c r="L107" s="447" t="s">
        <v>39</v>
      </c>
      <c r="M107" s="447">
        <v>4</v>
      </c>
      <c r="N107" s="448"/>
      <c r="O107" s="448"/>
      <c r="P107" s="448"/>
      <c r="Q107" s="448"/>
      <c r="R107" s="448"/>
      <c r="S107" s="448"/>
      <c r="T107" s="449" t="s">
        <v>40</v>
      </c>
      <c r="U107" s="450">
        <f>H107/K107*M107</f>
        <v>116359.76756843113</v>
      </c>
    </row>
    <row r="108" spans="1:21" x14ac:dyDescent="0.35">
      <c r="A108" s="451"/>
      <c r="B108" s="452"/>
      <c r="C108" s="452"/>
      <c r="D108" s="452"/>
      <c r="E108" s="452"/>
      <c r="F108" s="452"/>
      <c r="G108" s="453"/>
      <c r="H108" s="453"/>
      <c r="I108" s="453"/>
      <c r="J108" s="453"/>
      <c r="K108" s="453"/>
      <c r="L108" s="453"/>
      <c r="M108" s="453"/>
      <c r="N108" s="453"/>
      <c r="O108" s="453"/>
      <c r="P108" s="453"/>
      <c r="Q108" s="453"/>
      <c r="R108" s="453"/>
      <c r="S108" s="453"/>
      <c r="T108" s="453"/>
      <c r="U108" s="453"/>
    </row>
    <row r="109" spans="1:21" x14ac:dyDescent="0.35">
      <c r="A109" s="305"/>
      <c r="B109" s="305"/>
      <c r="C109" s="454"/>
      <c r="D109" s="454"/>
      <c r="E109" s="454"/>
      <c r="F109" s="703"/>
      <c r="G109" s="703"/>
      <c r="H109" s="703"/>
      <c r="I109" s="703"/>
      <c r="J109" s="703"/>
      <c r="K109" s="703"/>
      <c r="L109" s="703"/>
      <c r="M109" s="703"/>
      <c r="N109" s="703"/>
      <c r="O109" s="703"/>
      <c r="P109" s="703"/>
      <c r="Q109" s="703"/>
      <c r="R109" s="703"/>
      <c r="S109" s="703"/>
      <c r="T109" s="703"/>
      <c r="U109" s="453"/>
    </row>
    <row r="110" spans="1:21" x14ac:dyDescent="0.35">
      <c r="A110" s="305"/>
      <c r="B110" s="305"/>
      <c r="C110" s="454"/>
      <c r="D110" s="454"/>
      <c r="E110" s="454"/>
      <c r="F110" s="455"/>
      <c r="G110" s="455"/>
      <c r="H110" s="455"/>
      <c r="I110" s="453"/>
      <c r="J110" s="453"/>
      <c r="K110" s="453"/>
      <c r="L110" s="453"/>
      <c r="M110" s="453"/>
      <c r="N110" s="453"/>
      <c r="O110" s="453"/>
      <c r="P110" s="453"/>
      <c r="Q110" s="453"/>
      <c r="R110" s="453"/>
      <c r="S110" s="453"/>
      <c r="T110" s="453"/>
      <c r="U110" s="453"/>
    </row>
    <row r="111" spans="1:21" x14ac:dyDescent="0.35">
      <c r="A111" s="305"/>
      <c r="B111" s="554" t="s">
        <v>321</v>
      </c>
      <c r="C111" s="535"/>
      <c r="D111" s="535"/>
      <c r="E111" s="535"/>
      <c r="F111" s="535"/>
      <c r="G111" s="535"/>
      <c r="H111" s="535"/>
      <c r="I111" s="535"/>
      <c r="J111" s="535"/>
      <c r="K111" s="535"/>
      <c r="L111" s="535"/>
      <c r="M111" s="535"/>
      <c r="N111" s="535"/>
      <c r="O111" s="535"/>
      <c r="P111" s="535"/>
      <c r="Q111" s="535"/>
      <c r="R111" s="535"/>
      <c r="S111" s="535"/>
      <c r="T111" s="535"/>
      <c r="U111" s="453"/>
    </row>
    <row r="112" spans="1:21" x14ac:dyDescent="0.35">
      <c r="A112" s="456"/>
      <c r="B112" s="456"/>
      <c r="C112" s="456"/>
      <c r="D112" s="456"/>
      <c r="E112" s="456"/>
      <c r="F112" s="457"/>
      <c r="G112" s="457"/>
      <c r="H112" s="457"/>
      <c r="I112" s="453"/>
      <c r="J112" s="453"/>
      <c r="K112" s="453"/>
      <c r="L112" s="453"/>
      <c r="M112" s="453"/>
      <c r="N112" s="453"/>
      <c r="O112" s="453"/>
      <c r="P112" s="453"/>
      <c r="Q112" s="453"/>
      <c r="R112" s="453"/>
      <c r="S112" s="453"/>
      <c r="T112" s="453"/>
      <c r="U112" s="453"/>
    </row>
    <row r="113" spans="1:21" x14ac:dyDescent="0.35">
      <c r="A113" s="688"/>
      <c r="B113" s="688"/>
      <c r="C113" s="688"/>
      <c r="D113" s="456"/>
      <c r="E113" s="456"/>
      <c r="F113" s="689"/>
      <c r="G113" s="689"/>
      <c r="H113" s="689"/>
      <c r="I113" s="453"/>
      <c r="J113" s="453"/>
      <c r="K113" s="453"/>
      <c r="L113" s="453"/>
      <c r="M113" s="453"/>
      <c r="N113" s="453"/>
      <c r="O113" s="453"/>
      <c r="P113" s="453"/>
      <c r="Q113" s="453"/>
      <c r="R113" s="453"/>
      <c r="S113" s="453"/>
      <c r="T113" s="453"/>
      <c r="U113" s="453"/>
    </row>
    <row r="114" spans="1:21" x14ac:dyDescent="0.35">
      <c r="A114" s="456"/>
      <c r="B114" s="456"/>
      <c r="C114" s="456"/>
      <c r="D114" s="456"/>
      <c r="E114" s="456"/>
      <c r="F114" s="456"/>
      <c r="G114" s="456"/>
      <c r="H114" s="456"/>
      <c r="I114" s="453"/>
      <c r="J114" s="453"/>
      <c r="K114" s="453"/>
      <c r="L114" s="453"/>
      <c r="M114" s="453"/>
      <c r="N114" s="453"/>
      <c r="O114" s="453"/>
      <c r="P114" s="453"/>
      <c r="Q114" s="453"/>
      <c r="R114" s="453"/>
      <c r="S114" s="453"/>
      <c r="T114" s="453"/>
      <c r="U114" s="453"/>
    </row>
    <row r="115" spans="1:21" x14ac:dyDescent="0.35">
      <c r="A115" s="456"/>
      <c r="B115" s="456"/>
      <c r="C115" s="456"/>
      <c r="D115" s="690"/>
      <c r="E115" s="690"/>
      <c r="F115" s="690"/>
      <c r="G115" s="690"/>
      <c r="H115" s="690"/>
      <c r="I115" s="453"/>
      <c r="J115" s="453"/>
      <c r="K115" s="453"/>
      <c r="L115" s="453"/>
      <c r="M115" s="453"/>
      <c r="N115" s="453"/>
      <c r="O115" s="453"/>
      <c r="P115" s="453"/>
      <c r="Q115" s="453"/>
      <c r="R115" s="453"/>
      <c r="S115" s="453"/>
      <c r="T115" s="453"/>
      <c r="U115" s="453"/>
    </row>
  </sheetData>
  <mergeCells count="128">
    <mergeCell ref="A9:B9"/>
    <mergeCell ref="A10:A13"/>
    <mergeCell ref="B10:B13"/>
    <mergeCell ref="C10:F13"/>
    <mergeCell ref="G10:T13"/>
    <mergeCell ref="U10:U13"/>
    <mergeCell ref="A3:U3"/>
    <mergeCell ref="B5:D5"/>
    <mergeCell ref="E5:M5"/>
    <mergeCell ref="B6:D6"/>
    <mergeCell ref="E6:M6"/>
    <mergeCell ref="B7:D7"/>
    <mergeCell ref="E7:M7"/>
    <mergeCell ref="L16:L20"/>
    <mergeCell ref="M16:M20"/>
    <mergeCell ref="R16:R20"/>
    <mergeCell ref="S16:S20"/>
    <mergeCell ref="T16:T20"/>
    <mergeCell ref="U16:U20"/>
    <mergeCell ref="C14:F14"/>
    <mergeCell ref="G14:T14"/>
    <mergeCell ref="A15:U15"/>
    <mergeCell ref="A16:A20"/>
    <mergeCell ref="B16:B20"/>
    <mergeCell ref="C16:F20"/>
    <mergeCell ref="G16:G20"/>
    <mergeCell ref="H16:H20"/>
    <mergeCell ref="I16:I20"/>
    <mergeCell ref="K16:K20"/>
    <mergeCell ref="U21:U25"/>
    <mergeCell ref="A26:A29"/>
    <mergeCell ref="B26:B29"/>
    <mergeCell ref="C26:F29"/>
    <mergeCell ref="G26:G29"/>
    <mergeCell ref="H26:H29"/>
    <mergeCell ref="I26:I29"/>
    <mergeCell ref="K26:K29"/>
    <mergeCell ref="L26:L29"/>
    <mergeCell ref="M26:M29"/>
    <mergeCell ref="K21:K25"/>
    <mergeCell ref="L21:L25"/>
    <mergeCell ref="M21:M25"/>
    <mergeCell ref="R21:R25"/>
    <mergeCell ref="S21:S25"/>
    <mergeCell ref="T21:T25"/>
    <mergeCell ref="A21:A25"/>
    <mergeCell ref="B21:B25"/>
    <mergeCell ref="C21:F25"/>
    <mergeCell ref="G21:G25"/>
    <mergeCell ref="H21:H25"/>
    <mergeCell ref="I21:I25"/>
    <mergeCell ref="A32:U32"/>
    <mergeCell ref="A33:A37"/>
    <mergeCell ref="B33:B37"/>
    <mergeCell ref="C33:F37"/>
    <mergeCell ref="A38:A41"/>
    <mergeCell ref="B38:B41"/>
    <mergeCell ref="C38:F41"/>
    <mergeCell ref="R26:R29"/>
    <mergeCell ref="S26:S29"/>
    <mergeCell ref="T26:T29"/>
    <mergeCell ref="U26:U29"/>
    <mergeCell ref="C30:F30"/>
    <mergeCell ref="A31:T31"/>
    <mergeCell ref="C50:F50"/>
    <mergeCell ref="C51:F51"/>
    <mergeCell ref="C52:F52"/>
    <mergeCell ref="C53:F53"/>
    <mergeCell ref="C54:F54"/>
    <mergeCell ref="C55:F55"/>
    <mergeCell ref="C42:F42"/>
    <mergeCell ref="A43:T43"/>
    <mergeCell ref="A44:U44"/>
    <mergeCell ref="A45:A49"/>
    <mergeCell ref="B45:B49"/>
    <mergeCell ref="C45:F49"/>
    <mergeCell ref="A67:T67"/>
    <mergeCell ref="A68:U68"/>
    <mergeCell ref="A69:A74"/>
    <mergeCell ref="B69:B74"/>
    <mergeCell ref="C69:F74"/>
    <mergeCell ref="C75:F75"/>
    <mergeCell ref="A56:A60"/>
    <mergeCell ref="B56:B60"/>
    <mergeCell ref="C56:F60"/>
    <mergeCell ref="A61:A66"/>
    <mergeCell ref="B61:B66"/>
    <mergeCell ref="C61:F66"/>
    <mergeCell ref="A84:A88"/>
    <mergeCell ref="B84:B88"/>
    <mergeCell ref="C84:F88"/>
    <mergeCell ref="A89:A93"/>
    <mergeCell ref="B89:B93"/>
    <mergeCell ref="C89:F93"/>
    <mergeCell ref="A76:A79"/>
    <mergeCell ref="B76:B79"/>
    <mergeCell ref="C76:F79"/>
    <mergeCell ref="A80:A83"/>
    <mergeCell ref="B80:B83"/>
    <mergeCell ref="C80:F83"/>
    <mergeCell ref="A94:T94"/>
    <mergeCell ref="A95:A96"/>
    <mergeCell ref="B95:B96"/>
    <mergeCell ref="C95:F95"/>
    <mergeCell ref="G96:T96"/>
    <mergeCell ref="A97:A98"/>
    <mergeCell ref="B97:B98"/>
    <mergeCell ref="C97:F97"/>
    <mergeCell ref="G98:T98"/>
    <mergeCell ref="A99:T99"/>
    <mergeCell ref="B100:F100"/>
    <mergeCell ref="B102:F102"/>
    <mergeCell ref="A104:A106"/>
    <mergeCell ref="B104:F106"/>
    <mergeCell ref="G104:G106"/>
    <mergeCell ref="H104:H106"/>
    <mergeCell ref="I104:I106"/>
    <mergeCell ref="K104:K106"/>
    <mergeCell ref="L104:L106"/>
    <mergeCell ref="A113:C113"/>
    <mergeCell ref="F113:H113"/>
    <mergeCell ref="D115:H115"/>
    <mergeCell ref="M104:M106"/>
    <mergeCell ref="T104:T106"/>
    <mergeCell ref="U104:U106"/>
    <mergeCell ref="B107:F107"/>
    <mergeCell ref="F109:T109"/>
    <mergeCell ref="B111:T1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4" tint="0.59999389629810485"/>
    <pageSetUpPr fitToPage="1"/>
  </sheetPr>
  <dimension ref="A1:W30"/>
  <sheetViews>
    <sheetView topLeftCell="A10" workbookViewId="0">
      <selection activeCell="B4" sqref="B4:E6"/>
    </sheetView>
  </sheetViews>
  <sheetFormatPr defaultRowHeight="14.5" x14ac:dyDescent="0.35"/>
  <cols>
    <col min="2" max="2" width="27.54296875" customWidth="1"/>
    <col min="3" max="3" width="43" customWidth="1"/>
    <col min="4" max="4" width="11.26953125" customWidth="1"/>
    <col min="6" max="6" width="14" customWidth="1"/>
    <col min="7" max="7" width="20.453125" customWidth="1"/>
  </cols>
  <sheetData>
    <row r="1" spans="1:23" x14ac:dyDescent="0.35">
      <c r="A1" s="815" t="s">
        <v>78</v>
      </c>
      <c r="B1" s="815"/>
      <c r="C1" s="815"/>
      <c r="D1" s="815"/>
      <c r="E1" s="815"/>
      <c r="F1" s="815"/>
      <c r="G1" s="815"/>
    </row>
    <row r="2" spans="1:23" x14ac:dyDescent="0.35">
      <c r="A2" s="815" t="s">
        <v>79</v>
      </c>
      <c r="B2" s="815"/>
      <c r="C2" s="815"/>
      <c r="D2" s="815"/>
      <c r="E2" s="815"/>
      <c r="F2" s="815"/>
      <c r="G2" s="815"/>
    </row>
    <row r="3" spans="1:23" ht="18" customHeight="1" x14ac:dyDescent="0.35">
      <c r="A3" s="816"/>
      <c r="B3" s="816"/>
      <c r="C3" s="816"/>
      <c r="D3" s="816"/>
      <c r="E3" s="816"/>
      <c r="F3" s="816"/>
      <c r="G3" s="816"/>
    </row>
    <row r="4" spans="1:23" ht="51" customHeight="1" x14ac:dyDescent="0.35">
      <c r="A4" s="464"/>
      <c r="B4" s="465" t="s">
        <v>342</v>
      </c>
      <c r="C4" s="651" t="s">
        <v>345</v>
      </c>
      <c r="D4" s="651"/>
      <c r="E4" s="651"/>
      <c r="F4" s="464"/>
      <c r="G4" s="464"/>
      <c r="L4" s="598"/>
      <c r="M4" s="598"/>
      <c r="N4" s="598"/>
      <c r="O4" s="599"/>
      <c r="P4" s="599"/>
      <c r="Q4" s="599"/>
      <c r="R4" s="599"/>
      <c r="S4" s="599"/>
      <c r="T4" s="599"/>
      <c r="U4" s="599"/>
      <c r="V4" s="599"/>
      <c r="W4" s="599"/>
    </row>
    <row r="5" spans="1:23" ht="18" customHeight="1" x14ac:dyDescent="0.35">
      <c r="A5" s="464"/>
      <c r="B5" s="465" t="s">
        <v>343</v>
      </c>
      <c r="C5" s="651" t="s">
        <v>156</v>
      </c>
      <c r="D5" s="651"/>
      <c r="E5" s="651"/>
      <c r="F5" s="464"/>
      <c r="G5" s="464"/>
      <c r="L5" s="598"/>
      <c r="M5" s="598"/>
      <c r="N5" s="598"/>
      <c r="O5" s="599"/>
      <c r="P5" s="599"/>
      <c r="Q5" s="599"/>
      <c r="R5" s="599"/>
      <c r="S5" s="599"/>
      <c r="T5" s="599"/>
      <c r="U5" s="599"/>
      <c r="V5" s="599"/>
      <c r="W5" s="599"/>
    </row>
    <row r="6" spans="1:23" ht="18" customHeight="1" x14ac:dyDescent="0.35">
      <c r="A6" s="464"/>
      <c r="B6" s="465" t="s">
        <v>344</v>
      </c>
      <c r="C6" s="651" t="s">
        <v>346</v>
      </c>
      <c r="D6" s="651"/>
      <c r="E6" s="465"/>
      <c r="F6" s="464"/>
      <c r="G6" s="464"/>
      <c r="L6" s="598"/>
      <c r="M6" s="598"/>
      <c r="N6" s="598"/>
      <c r="O6" s="599"/>
      <c r="P6" s="599"/>
      <c r="Q6" s="599"/>
      <c r="R6" s="599"/>
      <c r="S6" s="599"/>
      <c r="T6" s="599"/>
      <c r="U6" s="599"/>
      <c r="V6" s="599"/>
      <c r="W6" s="599"/>
    </row>
    <row r="7" spans="1:23" x14ac:dyDescent="0.35">
      <c r="A7" s="69"/>
      <c r="B7" s="69"/>
      <c r="C7" s="69"/>
      <c r="D7" s="69"/>
      <c r="E7" s="69"/>
      <c r="F7" s="70"/>
      <c r="G7" s="69"/>
    </row>
    <row r="8" spans="1:23" x14ac:dyDescent="0.35">
      <c r="A8" s="817" t="s">
        <v>81</v>
      </c>
      <c r="B8" s="817" t="s">
        <v>82</v>
      </c>
      <c r="C8" s="819" t="s">
        <v>83</v>
      </c>
      <c r="D8" s="820"/>
      <c r="E8" s="819" t="s">
        <v>84</v>
      </c>
      <c r="F8" s="820"/>
      <c r="G8" s="817" t="s">
        <v>85</v>
      </c>
    </row>
    <row r="9" spans="1:23" ht="24.65" customHeight="1" x14ac:dyDescent="0.35">
      <c r="A9" s="818"/>
      <c r="B9" s="818"/>
      <c r="C9" s="821"/>
      <c r="D9" s="822"/>
      <c r="E9" s="821"/>
      <c r="F9" s="822"/>
      <c r="G9" s="823"/>
    </row>
    <row r="10" spans="1:23" ht="15" thickBot="1" x14ac:dyDescent="0.4">
      <c r="A10" s="71">
        <v>1</v>
      </c>
      <c r="B10" s="71">
        <v>2</v>
      </c>
      <c r="C10" s="819">
        <v>3</v>
      </c>
      <c r="D10" s="820"/>
      <c r="E10" s="819">
        <v>4</v>
      </c>
      <c r="F10" s="820"/>
      <c r="G10" s="71">
        <v>5</v>
      </c>
    </row>
    <row r="11" spans="1:23" ht="33" customHeight="1" x14ac:dyDescent="0.35">
      <c r="A11" s="809" t="s">
        <v>13</v>
      </c>
      <c r="B11" s="812" t="s">
        <v>179</v>
      </c>
      <c r="C11" s="796" t="s">
        <v>86</v>
      </c>
      <c r="D11" s="797"/>
      <c r="E11" s="796" t="s">
        <v>327</v>
      </c>
      <c r="F11" s="798"/>
      <c r="G11" s="806">
        <f>(D12+D13*D14)*D17*D16*1000</f>
        <v>57479.5</v>
      </c>
    </row>
    <row r="12" spans="1:23" ht="18" customHeight="1" x14ac:dyDescent="0.35">
      <c r="A12" s="810"/>
      <c r="B12" s="813"/>
      <c r="C12" s="72" t="s">
        <v>87</v>
      </c>
      <c r="D12" s="73">
        <v>276.52999999999997</v>
      </c>
      <c r="E12" s="799"/>
      <c r="F12" s="800"/>
      <c r="G12" s="807"/>
    </row>
    <row r="13" spans="1:23" ht="15.75" customHeight="1" x14ac:dyDescent="0.35">
      <c r="A13" s="810"/>
      <c r="B13" s="813"/>
      <c r="C13" s="72" t="s">
        <v>88</v>
      </c>
      <c r="D13" s="74">
        <v>145.51</v>
      </c>
      <c r="E13" s="799"/>
      <c r="F13" s="800"/>
      <c r="G13" s="807"/>
    </row>
    <row r="14" spans="1:23" x14ac:dyDescent="0.35">
      <c r="A14" s="810"/>
      <c r="B14" s="813"/>
      <c r="C14" s="72" t="s">
        <v>176</v>
      </c>
      <c r="D14" s="75">
        <v>6</v>
      </c>
      <c r="E14" s="799"/>
      <c r="F14" s="800"/>
      <c r="G14" s="807"/>
    </row>
    <row r="15" spans="1:23" x14ac:dyDescent="0.35">
      <c r="A15" s="810"/>
      <c r="B15" s="813"/>
      <c r="C15" s="76"/>
      <c r="D15" s="74"/>
      <c r="E15" s="799"/>
      <c r="F15" s="800"/>
      <c r="G15" s="807"/>
    </row>
    <row r="16" spans="1:23" x14ac:dyDescent="0.35">
      <c r="A16" s="810"/>
      <c r="B16" s="813"/>
      <c r="C16" s="76" t="s">
        <v>89</v>
      </c>
      <c r="D16" s="77">
        <v>0.2</v>
      </c>
      <c r="E16" s="799"/>
      <c r="F16" s="800"/>
      <c r="G16" s="807"/>
    </row>
    <row r="17" spans="1:7" ht="15" customHeight="1" x14ac:dyDescent="0.35">
      <c r="A17" s="810"/>
      <c r="B17" s="813"/>
      <c r="C17" s="78" t="s">
        <v>90</v>
      </c>
      <c r="D17" s="69">
        <f>0.03+0.08+0.14</f>
        <v>0.25</v>
      </c>
      <c r="E17" s="799"/>
      <c r="F17" s="800"/>
      <c r="G17" s="807"/>
    </row>
    <row r="18" spans="1:7" ht="13.5" customHeight="1" thickBot="1" x14ac:dyDescent="0.4">
      <c r="A18" s="811"/>
      <c r="B18" s="814"/>
      <c r="C18" s="79"/>
      <c r="D18" s="80"/>
      <c r="E18" s="801"/>
      <c r="F18" s="802"/>
      <c r="G18" s="808"/>
    </row>
    <row r="19" spans="1:7" ht="13.5" customHeight="1" x14ac:dyDescent="0.35">
      <c r="A19" s="809" t="s">
        <v>15</v>
      </c>
      <c r="B19" s="812" t="s">
        <v>91</v>
      </c>
      <c r="C19" s="796" t="s">
        <v>92</v>
      </c>
      <c r="D19" s="797"/>
      <c r="E19" s="796" t="s">
        <v>326</v>
      </c>
      <c r="F19" s="798"/>
      <c r="G19" s="806">
        <f>(D20+D21*D22)*D23*D24*D25*1000</f>
        <v>22991.800000000003</v>
      </c>
    </row>
    <row r="20" spans="1:7" ht="13.5" customHeight="1" x14ac:dyDescent="0.35">
      <c r="A20" s="810"/>
      <c r="B20" s="813"/>
      <c r="C20" s="72" t="s">
        <v>87</v>
      </c>
      <c r="D20" s="73">
        <f>D12</f>
        <v>276.52999999999997</v>
      </c>
      <c r="E20" s="799"/>
      <c r="F20" s="800"/>
      <c r="G20" s="807"/>
    </row>
    <row r="21" spans="1:7" ht="13.5" customHeight="1" x14ac:dyDescent="0.35">
      <c r="A21" s="810"/>
      <c r="B21" s="813"/>
      <c r="C21" s="72" t="s">
        <v>88</v>
      </c>
      <c r="D21" s="74">
        <f>D13</f>
        <v>145.51</v>
      </c>
      <c r="E21" s="799"/>
      <c r="F21" s="800"/>
      <c r="G21" s="807"/>
    </row>
    <row r="22" spans="1:7" ht="13.5" customHeight="1" x14ac:dyDescent="0.35">
      <c r="A22" s="810"/>
      <c r="B22" s="813"/>
      <c r="C22" s="72" t="s">
        <v>93</v>
      </c>
      <c r="D22" s="75">
        <f>D14</f>
        <v>6</v>
      </c>
      <c r="E22" s="799"/>
      <c r="F22" s="800"/>
      <c r="G22" s="807"/>
    </row>
    <row r="23" spans="1:7" ht="13.5" customHeight="1" x14ac:dyDescent="0.35">
      <c r="A23" s="810"/>
      <c r="B23" s="813"/>
      <c r="C23" s="72" t="s">
        <v>94</v>
      </c>
      <c r="D23" s="74">
        <v>0.4</v>
      </c>
      <c r="E23" s="799"/>
      <c r="F23" s="800"/>
      <c r="G23" s="807"/>
    </row>
    <row r="24" spans="1:7" ht="13.5" customHeight="1" x14ac:dyDescent="0.35">
      <c r="A24" s="810"/>
      <c r="B24" s="813"/>
      <c r="C24" s="76" t="s">
        <v>95</v>
      </c>
      <c r="D24" s="74">
        <v>0.2</v>
      </c>
      <c r="E24" s="799"/>
      <c r="F24" s="800"/>
      <c r="G24" s="807"/>
    </row>
    <row r="25" spans="1:7" ht="15" customHeight="1" thickBot="1" x14ac:dyDescent="0.4">
      <c r="A25" s="811"/>
      <c r="B25" s="814"/>
      <c r="C25" s="81" t="s">
        <v>90</v>
      </c>
      <c r="D25" s="82">
        <f>D17</f>
        <v>0.25</v>
      </c>
      <c r="E25" s="801"/>
      <c r="F25" s="802"/>
      <c r="G25" s="808"/>
    </row>
    <row r="26" spans="1:7" ht="16" thickBot="1" x14ac:dyDescent="0.4">
      <c r="A26" s="803" t="s">
        <v>96</v>
      </c>
      <c r="B26" s="804"/>
      <c r="C26" s="804"/>
      <c r="D26" s="804"/>
      <c r="E26" s="804"/>
      <c r="F26" s="805"/>
      <c r="G26" s="83">
        <f>G19+G11</f>
        <v>80471.3</v>
      </c>
    </row>
    <row r="28" spans="1:7" x14ac:dyDescent="0.35">
      <c r="G28" s="1"/>
    </row>
    <row r="30" spans="1:7" x14ac:dyDescent="0.35">
      <c r="C30" s="535" t="s">
        <v>184</v>
      </c>
      <c r="D30" s="535"/>
      <c r="E30" s="535"/>
    </row>
  </sheetData>
  <mergeCells count="31">
    <mergeCell ref="O4:W4"/>
    <mergeCell ref="L5:N5"/>
    <mergeCell ref="O5:W5"/>
    <mergeCell ref="L6:N6"/>
    <mergeCell ref="O6:W6"/>
    <mergeCell ref="L4:N4"/>
    <mergeCell ref="C4:E4"/>
    <mergeCell ref="C5:E5"/>
    <mergeCell ref="C6:D6"/>
    <mergeCell ref="C30:E30"/>
    <mergeCell ref="A1:G1"/>
    <mergeCell ref="A2:G2"/>
    <mergeCell ref="A3:G3"/>
    <mergeCell ref="A8:A9"/>
    <mergeCell ref="B8:B9"/>
    <mergeCell ref="C8:D9"/>
    <mergeCell ref="E8:F9"/>
    <mergeCell ref="G8:G9"/>
    <mergeCell ref="C10:D10"/>
    <mergeCell ref="E10:F10"/>
    <mergeCell ref="A11:A18"/>
    <mergeCell ref="B11:B18"/>
    <mergeCell ref="C11:D11"/>
    <mergeCell ref="E11:F18"/>
    <mergeCell ref="A26:F26"/>
    <mergeCell ref="G11:G18"/>
    <mergeCell ref="A19:A25"/>
    <mergeCell ref="B19:B25"/>
    <mergeCell ref="C19:D19"/>
    <mergeCell ref="E19:F25"/>
    <mergeCell ref="G19:G25"/>
  </mergeCells>
  <pageMargins left="0.7" right="0.7" top="0.75" bottom="0.75" header="0.3" footer="0.3"/>
  <pageSetup paperSize="9" scale="64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3" tint="0.59999389629810485"/>
    <pageSetUpPr fitToPage="1"/>
  </sheetPr>
  <dimension ref="A1:AI42"/>
  <sheetViews>
    <sheetView topLeftCell="A7" zoomScale="85" zoomScaleNormal="85" workbookViewId="0">
      <selection activeCell="AF11" sqref="AF11"/>
    </sheetView>
  </sheetViews>
  <sheetFormatPr defaultRowHeight="14.5" x14ac:dyDescent="0.35"/>
  <cols>
    <col min="5" max="5" width="3.1796875" customWidth="1"/>
    <col min="7" max="7" width="20.54296875" customWidth="1"/>
    <col min="8" max="10" width="9.1796875" hidden="1" customWidth="1"/>
    <col min="11" max="11" width="1.81640625" customWidth="1"/>
    <col min="12" max="12" width="4.54296875" customWidth="1"/>
    <col min="13" max="13" width="6.1796875" customWidth="1"/>
    <col min="14" max="14" width="7.1796875" customWidth="1"/>
    <col min="15" max="15" width="3" customWidth="1"/>
    <col min="17" max="17" width="3.81640625" customWidth="1"/>
    <col min="19" max="19" width="3.1796875" customWidth="1"/>
    <col min="20" max="20" width="7.453125" customWidth="1"/>
    <col min="21" max="22" width="2.1796875" customWidth="1"/>
    <col min="23" max="23" width="5.7265625" customWidth="1"/>
    <col min="24" max="26" width="9.1796875" hidden="1" customWidth="1"/>
    <col min="27" max="27" width="5" customWidth="1"/>
    <col min="28" max="28" width="12.7265625" customWidth="1"/>
  </cols>
  <sheetData>
    <row r="1" spans="1:35" ht="15" x14ac:dyDescent="0.35">
      <c r="A1" s="867" t="s">
        <v>347</v>
      </c>
      <c r="B1" s="867"/>
      <c r="C1" s="867"/>
      <c r="D1" s="867"/>
      <c r="E1" s="867"/>
      <c r="F1" s="867"/>
      <c r="G1" s="867"/>
      <c r="H1" s="867"/>
      <c r="I1" s="867"/>
      <c r="J1" s="867"/>
      <c r="K1" s="867"/>
      <c r="L1" s="867"/>
      <c r="M1" s="867"/>
      <c r="N1" s="867"/>
      <c r="O1" s="867"/>
      <c r="P1" s="867"/>
      <c r="Q1" s="867"/>
      <c r="R1" s="867"/>
      <c r="S1" s="867"/>
      <c r="T1" s="867"/>
      <c r="U1" s="867"/>
      <c r="V1" s="867"/>
      <c r="W1" s="867"/>
      <c r="X1" s="867"/>
      <c r="Y1" s="867"/>
      <c r="Z1" s="867"/>
      <c r="AA1" s="867"/>
      <c r="AB1" s="867"/>
    </row>
    <row r="2" spans="1:35" ht="30.75" customHeight="1" x14ac:dyDescent="0.35">
      <c r="A2" s="867" t="s">
        <v>148</v>
      </c>
      <c r="B2" s="867"/>
      <c r="C2" s="867"/>
      <c r="D2" s="867"/>
      <c r="E2" s="867"/>
      <c r="F2" s="867"/>
      <c r="G2" s="867"/>
      <c r="H2" s="867"/>
      <c r="I2" s="867"/>
      <c r="J2" s="867"/>
      <c r="K2" s="867"/>
      <c r="L2" s="867"/>
      <c r="M2" s="867"/>
      <c r="N2" s="867"/>
      <c r="O2" s="867"/>
      <c r="P2" s="867"/>
      <c r="Q2" s="867"/>
      <c r="R2" s="867"/>
      <c r="S2" s="867"/>
      <c r="T2" s="867"/>
      <c r="U2" s="867"/>
      <c r="V2" s="867"/>
      <c r="W2" s="867"/>
      <c r="X2" s="867"/>
      <c r="Y2" s="867"/>
      <c r="Z2" s="867"/>
      <c r="AA2" s="867"/>
      <c r="AB2" s="867"/>
    </row>
    <row r="3" spans="1:35" ht="48.75" customHeight="1" x14ac:dyDescent="0.35">
      <c r="A3" s="651" t="s">
        <v>342</v>
      </c>
      <c r="B3" s="651"/>
      <c r="C3" s="651"/>
      <c r="D3" s="651"/>
      <c r="E3" s="651"/>
      <c r="F3" s="651"/>
      <c r="G3" s="651" t="s">
        <v>345</v>
      </c>
      <c r="H3" s="651"/>
      <c r="I3" s="651"/>
      <c r="J3" s="651"/>
      <c r="K3" s="651"/>
      <c r="L3" s="651"/>
      <c r="M3" s="651"/>
      <c r="N3" s="651"/>
      <c r="O3" s="651"/>
      <c r="P3" s="651"/>
      <c r="Q3" s="651"/>
      <c r="R3" s="466"/>
      <c r="S3" s="466"/>
      <c r="T3" s="466"/>
      <c r="U3" s="466"/>
      <c r="V3" s="466"/>
      <c r="W3" s="466"/>
      <c r="X3" s="466"/>
      <c r="Y3" s="466"/>
      <c r="Z3" s="466"/>
      <c r="AA3" s="466"/>
      <c r="AB3" s="466"/>
      <c r="AF3" s="465"/>
      <c r="AG3" s="651"/>
      <c r="AH3" s="651"/>
      <c r="AI3" s="651"/>
    </row>
    <row r="4" spans="1:35" ht="48" customHeight="1" x14ac:dyDescent="0.35">
      <c r="A4" s="651" t="s">
        <v>343</v>
      </c>
      <c r="B4" s="651"/>
      <c r="C4" s="651"/>
      <c r="D4" s="651"/>
      <c r="E4" s="651"/>
      <c r="F4" s="467"/>
      <c r="G4" s="651" t="s">
        <v>156</v>
      </c>
      <c r="H4" s="651"/>
      <c r="I4" s="651"/>
      <c r="J4" s="651"/>
      <c r="K4" s="651"/>
      <c r="L4" s="651"/>
      <c r="M4" s="651"/>
      <c r="N4" s="651"/>
      <c r="O4" s="651"/>
      <c r="P4" s="651"/>
      <c r="Q4" s="651"/>
      <c r="R4" s="466"/>
      <c r="S4" s="466"/>
      <c r="T4" s="466"/>
      <c r="U4" s="466"/>
      <c r="V4" s="466"/>
      <c r="W4" s="466"/>
      <c r="X4" s="466"/>
      <c r="Y4" s="466"/>
      <c r="Z4" s="466"/>
      <c r="AA4" s="466"/>
      <c r="AB4" s="466"/>
      <c r="AF4" s="465"/>
      <c r="AG4" s="651"/>
      <c r="AH4" s="651"/>
      <c r="AI4" s="651"/>
    </row>
    <row r="5" spans="1:35" ht="37.5" customHeight="1" thickBot="1" x14ac:dyDescent="0.4">
      <c r="A5" s="651" t="s">
        <v>344</v>
      </c>
      <c r="B5" s="651"/>
      <c r="C5" s="651"/>
      <c r="D5" s="651"/>
      <c r="E5" s="651"/>
      <c r="F5" s="467"/>
      <c r="G5" s="651" t="s">
        <v>346</v>
      </c>
      <c r="H5" s="651"/>
      <c r="I5" s="651"/>
      <c r="J5" s="651"/>
      <c r="K5" s="651"/>
      <c r="L5" s="651"/>
      <c r="M5" s="651"/>
      <c r="N5" s="651"/>
      <c r="O5" s="651"/>
      <c r="P5" s="651"/>
      <c r="Q5" s="651"/>
      <c r="R5" s="466"/>
      <c r="S5" s="466"/>
      <c r="T5" s="466"/>
      <c r="U5" s="466"/>
      <c r="V5" s="466"/>
      <c r="W5" s="466"/>
      <c r="X5" s="466"/>
      <c r="Y5" s="466"/>
      <c r="Z5" s="466"/>
      <c r="AA5" s="466"/>
      <c r="AB5" s="466"/>
      <c r="AF5" s="465"/>
      <c r="AG5" s="651"/>
      <c r="AH5" s="651"/>
      <c r="AI5" s="465"/>
    </row>
    <row r="6" spans="1:35" ht="78.75" customHeight="1" thickBot="1" x14ac:dyDescent="0.4">
      <c r="A6" s="861" t="s">
        <v>53</v>
      </c>
      <c r="B6" s="862"/>
      <c r="C6" s="862"/>
      <c r="D6" s="862"/>
      <c r="E6" s="862"/>
      <c r="F6" s="863"/>
      <c r="G6" s="3" t="s">
        <v>54</v>
      </c>
      <c r="H6" s="864" t="s">
        <v>55</v>
      </c>
      <c r="I6" s="865"/>
      <c r="J6" s="865"/>
      <c r="K6" s="865"/>
      <c r="L6" s="865"/>
      <c r="M6" s="865"/>
      <c r="N6" s="865"/>
      <c r="O6" s="865"/>
      <c r="P6" s="865"/>
      <c r="Q6" s="865"/>
      <c r="R6" s="865"/>
      <c r="S6" s="865"/>
      <c r="T6" s="865"/>
      <c r="U6" s="865"/>
      <c r="V6" s="865"/>
      <c r="W6" s="865"/>
      <c r="X6" s="865"/>
      <c r="Y6" s="865"/>
      <c r="Z6" s="865"/>
      <c r="AA6" s="866"/>
      <c r="AB6" s="4" t="s">
        <v>56</v>
      </c>
    </row>
    <row r="7" spans="1:35" ht="15" thickBot="1" x14ac:dyDescent="0.4">
      <c r="A7" s="5"/>
      <c r="B7" s="6"/>
      <c r="C7" s="6">
        <v>1</v>
      </c>
      <c r="D7" s="6"/>
      <c r="E7" s="6"/>
      <c r="F7" s="7"/>
      <c r="G7" s="8">
        <v>2</v>
      </c>
      <c r="H7" s="9"/>
      <c r="I7" s="10"/>
      <c r="J7" s="10"/>
      <c r="K7" s="10"/>
      <c r="L7" s="10"/>
      <c r="M7" s="10"/>
      <c r="N7" s="10"/>
      <c r="O7" s="10"/>
      <c r="P7" s="10">
        <v>3</v>
      </c>
      <c r="Q7" s="10"/>
      <c r="R7" s="10"/>
      <c r="S7" s="10"/>
      <c r="T7" s="10"/>
      <c r="U7" s="10"/>
      <c r="V7" s="10"/>
      <c r="W7" s="10"/>
      <c r="X7" s="10"/>
      <c r="Y7" s="10"/>
      <c r="Z7" s="10"/>
      <c r="AA7" s="11"/>
      <c r="AB7" s="12">
        <v>4</v>
      </c>
    </row>
    <row r="8" spans="1:35" ht="30" customHeight="1" x14ac:dyDescent="0.35">
      <c r="A8" s="840" t="s">
        <v>57</v>
      </c>
      <c r="B8" s="841"/>
      <c r="C8" s="841"/>
      <c r="D8" s="841"/>
      <c r="E8" s="841"/>
      <c r="F8" s="842"/>
      <c r="G8" s="851" t="s">
        <v>58</v>
      </c>
      <c r="H8" s="13"/>
      <c r="I8" s="14"/>
      <c r="J8" s="14"/>
      <c r="K8" s="14"/>
      <c r="L8" s="14"/>
      <c r="M8" s="15" t="s">
        <v>46</v>
      </c>
      <c r="N8" s="16">
        <v>1363</v>
      </c>
      <c r="O8" s="16" t="s">
        <v>39</v>
      </c>
      <c r="P8" s="17">
        <f>F9</f>
        <v>1.1000000000000001</v>
      </c>
      <c r="Q8" s="18" t="s">
        <v>39</v>
      </c>
      <c r="R8" s="19">
        <f>+F10</f>
        <v>0.10270000000000001</v>
      </c>
      <c r="S8" s="14" t="s">
        <v>26</v>
      </c>
      <c r="T8" s="18"/>
      <c r="U8" s="14"/>
      <c r="V8" s="20"/>
      <c r="W8" s="14"/>
      <c r="X8" s="20"/>
      <c r="Y8" s="21"/>
      <c r="Z8" s="21"/>
      <c r="AA8" s="22"/>
      <c r="AB8" s="854">
        <f>((N8*P8*R8)+(N10*P10))*W10</f>
        <v>221.76599850000008</v>
      </c>
    </row>
    <row r="9" spans="1:35" x14ac:dyDescent="0.35">
      <c r="A9" s="849" t="s">
        <v>59</v>
      </c>
      <c r="B9" s="850"/>
      <c r="C9" s="850"/>
      <c r="D9" s="850"/>
      <c r="E9" s="850"/>
      <c r="F9" s="23">
        <f>1+0.1*(2-1)</f>
        <v>1.1000000000000001</v>
      </c>
      <c r="G9" s="852"/>
      <c r="H9" s="849" t="s">
        <v>25</v>
      </c>
      <c r="I9" s="850"/>
      <c r="J9" s="850"/>
      <c r="K9" s="850"/>
      <c r="L9" s="850"/>
      <c r="M9" s="850"/>
      <c r="N9" s="850"/>
      <c r="O9" s="850"/>
      <c r="P9" s="850"/>
      <c r="Q9" s="850"/>
      <c r="R9" s="850"/>
      <c r="S9" s="850"/>
      <c r="T9" s="850"/>
      <c r="U9" s="850"/>
      <c r="V9" s="850"/>
      <c r="W9" s="850"/>
      <c r="X9" s="850"/>
      <c r="Y9" s="850"/>
      <c r="Z9" s="24"/>
      <c r="AA9" s="857" t="s">
        <v>40</v>
      </c>
      <c r="AB9" s="855"/>
    </row>
    <row r="10" spans="1:35" x14ac:dyDescent="0.35">
      <c r="A10" s="849" t="s">
        <v>149</v>
      </c>
      <c r="B10" s="850"/>
      <c r="C10" s="850"/>
      <c r="D10" s="850"/>
      <c r="E10" s="850"/>
      <c r="F10" s="23">
        <f>1-0.9*(1-F12)</f>
        <v>0.10270000000000001</v>
      </c>
      <c r="G10" s="852"/>
      <c r="H10" s="25"/>
      <c r="I10" s="24"/>
      <c r="J10" s="14"/>
      <c r="K10" s="14"/>
      <c r="L10" s="14"/>
      <c r="M10" s="26" t="s">
        <v>46</v>
      </c>
      <c r="N10" s="16">
        <v>3431</v>
      </c>
      <c r="O10" s="24" t="s">
        <v>39</v>
      </c>
      <c r="P10" s="230">
        <f>F12</f>
        <v>3.0000000000000001E-3</v>
      </c>
      <c r="Q10" s="27"/>
      <c r="R10" s="28"/>
      <c r="S10" s="20" t="s">
        <v>26</v>
      </c>
      <c r="T10" s="20"/>
      <c r="U10" s="14"/>
      <c r="V10" s="20" t="s">
        <v>39</v>
      </c>
      <c r="W10" s="231">
        <v>1.35</v>
      </c>
      <c r="X10" s="20"/>
      <c r="Y10" s="20"/>
      <c r="Z10" s="20"/>
      <c r="AA10" s="857"/>
      <c r="AB10" s="855"/>
    </row>
    <row r="11" spans="1:35" x14ac:dyDescent="0.35">
      <c r="A11" s="849" t="s">
        <v>60</v>
      </c>
      <c r="B11" s="850"/>
      <c r="C11" s="850"/>
      <c r="D11" s="850"/>
      <c r="E11" s="850"/>
      <c r="F11" s="23" t="s">
        <v>61</v>
      </c>
      <c r="G11" s="852"/>
      <c r="H11" s="29"/>
      <c r="I11" s="20"/>
      <c r="J11" s="20"/>
      <c r="K11" s="20"/>
      <c r="L11" s="20"/>
      <c r="M11" s="20"/>
      <c r="N11" s="20"/>
      <c r="O11" s="3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31"/>
      <c r="AB11" s="855"/>
    </row>
    <row r="12" spans="1:35" ht="15.75" customHeight="1" thickBot="1" x14ac:dyDescent="0.4">
      <c r="A12" s="827" t="s">
        <v>65</v>
      </c>
      <c r="B12" s="828"/>
      <c r="C12" s="828"/>
      <c r="D12" s="828"/>
      <c r="E12" s="828"/>
      <c r="F12" s="256">
        <v>3.0000000000000001E-3</v>
      </c>
      <c r="G12" s="853"/>
      <c r="H12" s="32"/>
      <c r="I12" s="33"/>
      <c r="J12" s="33"/>
      <c r="K12" s="33"/>
      <c r="L12" s="33"/>
      <c r="M12" s="33"/>
      <c r="N12" s="33"/>
      <c r="O12" s="34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5"/>
      <c r="AB12" s="856"/>
    </row>
    <row r="13" spans="1:35" ht="15" customHeight="1" x14ac:dyDescent="0.35">
      <c r="A13" s="868" t="s">
        <v>62</v>
      </c>
      <c r="B13" s="869"/>
      <c r="C13" s="869"/>
      <c r="D13" s="869"/>
      <c r="E13" s="869"/>
      <c r="F13" s="870"/>
      <c r="G13" s="843" t="s">
        <v>63</v>
      </c>
      <c r="H13" s="36"/>
      <c r="I13" s="37"/>
      <c r="J13" s="14"/>
      <c r="K13" s="14"/>
      <c r="L13" s="14"/>
      <c r="M13" s="38" t="s">
        <v>46</v>
      </c>
      <c r="N13" s="39">
        <v>355</v>
      </c>
      <c r="O13" s="39" t="s">
        <v>39</v>
      </c>
      <c r="P13" s="40">
        <f>F14</f>
        <v>0.10134999999999994</v>
      </c>
      <c r="Q13" s="39" t="s">
        <v>39</v>
      </c>
      <c r="R13" s="41">
        <f>F16</f>
        <v>1.2</v>
      </c>
      <c r="S13" s="37"/>
      <c r="T13" s="37"/>
      <c r="U13" s="37" t="s">
        <v>26</v>
      </c>
      <c r="V13" s="37"/>
      <c r="W13" s="37"/>
      <c r="X13" s="37"/>
      <c r="Y13" s="37"/>
      <c r="Z13" s="37"/>
      <c r="AA13" s="42"/>
      <c r="AB13" s="858">
        <f>((N13*P13*R13)+(N15*P15))*W15</f>
        <v>49.727264999999967</v>
      </c>
    </row>
    <row r="14" spans="1:35" ht="15" customHeight="1" x14ac:dyDescent="0.35">
      <c r="A14" s="849" t="s">
        <v>150</v>
      </c>
      <c r="B14" s="850"/>
      <c r="C14" s="850"/>
      <c r="D14" s="850"/>
      <c r="E14" s="850"/>
      <c r="F14" s="43">
        <f>1-0.45*(2-F19)</f>
        <v>0.10134999999999994</v>
      </c>
      <c r="G14" s="844"/>
      <c r="H14" s="849" t="s">
        <v>25</v>
      </c>
      <c r="I14" s="850"/>
      <c r="J14" s="850"/>
      <c r="K14" s="850"/>
      <c r="L14" s="850"/>
      <c r="M14" s="850"/>
      <c r="N14" s="850"/>
      <c r="O14" s="850"/>
      <c r="P14" s="850"/>
      <c r="Q14" s="850"/>
      <c r="R14" s="850"/>
      <c r="S14" s="850"/>
      <c r="T14" s="850"/>
      <c r="U14" s="850"/>
      <c r="V14" s="850"/>
      <c r="W14" s="850"/>
      <c r="X14" s="850"/>
      <c r="Y14" s="850"/>
      <c r="Z14" s="24"/>
      <c r="AA14" s="44"/>
      <c r="AB14" s="859"/>
    </row>
    <row r="15" spans="1:35" x14ac:dyDescent="0.35">
      <c r="A15" s="849"/>
      <c r="B15" s="850"/>
      <c r="C15" s="850"/>
      <c r="D15" s="850"/>
      <c r="E15" s="850"/>
      <c r="F15" s="23"/>
      <c r="G15" s="844"/>
      <c r="H15" s="29"/>
      <c r="I15" s="20"/>
      <c r="J15" s="14"/>
      <c r="K15" s="14"/>
      <c r="L15" s="14"/>
      <c r="M15" s="26" t="s">
        <v>46</v>
      </c>
      <c r="N15" s="16">
        <v>22</v>
      </c>
      <c r="O15" s="16" t="s">
        <v>39</v>
      </c>
      <c r="P15" s="232">
        <f>F19</f>
        <v>3.0000000000000001E-3</v>
      </c>
      <c r="Q15" s="16" t="s">
        <v>39</v>
      </c>
      <c r="R15" s="17" t="s">
        <v>26</v>
      </c>
      <c r="S15" s="16"/>
      <c r="T15" s="16"/>
      <c r="U15" s="45"/>
      <c r="V15" s="20" t="s">
        <v>39</v>
      </c>
      <c r="W15" s="233">
        <v>1.1499999999999999</v>
      </c>
      <c r="X15" s="20"/>
      <c r="Y15" s="20"/>
      <c r="Z15" s="20"/>
      <c r="AA15" s="857" t="s">
        <v>40</v>
      </c>
      <c r="AB15" s="859"/>
    </row>
    <row r="16" spans="1:35" x14ac:dyDescent="0.35">
      <c r="A16" s="849" t="s">
        <v>151</v>
      </c>
      <c r="B16" s="850"/>
      <c r="C16" s="850"/>
      <c r="D16" s="850"/>
      <c r="E16" s="850"/>
      <c r="F16" s="23">
        <f>1+0.1*(3-1)</f>
        <v>1.2</v>
      </c>
      <c r="G16" s="844"/>
      <c r="H16" s="46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24"/>
      <c r="AA16" s="857"/>
      <c r="AB16" s="859"/>
    </row>
    <row r="17" spans="1:28" x14ac:dyDescent="0.35">
      <c r="A17" s="849"/>
      <c r="B17" s="850"/>
      <c r="C17" s="850"/>
      <c r="D17" s="850"/>
      <c r="E17" s="850"/>
      <c r="F17" s="23"/>
      <c r="G17" s="844"/>
      <c r="H17" s="25"/>
      <c r="I17" s="24"/>
      <c r="J17" s="24"/>
      <c r="K17" s="24"/>
      <c r="L17" s="52"/>
      <c r="M17" s="47"/>
      <c r="N17" s="47"/>
      <c r="O17" s="47"/>
      <c r="P17" s="47"/>
      <c r="Q17" s="24"/>
      <c r="R17" s="52"/>
      <c r="S17" s="24"/>
      <c r="T17" s="24"/>
      <c r="U17" s="52"/>
      <c r="V17" s="24"/>
      <c r="W17" s="52"/>
      <c r="X17" s="24"/>
      <c r="Y17" s="24"/>
      <c r="Z17" s="52"/>
      <c r="AA17" s="43"/>
      <c r="AB17" s="859"/>
    </row>
    <row r="18" spans="1:28" x14ac:dyDescent="0.35">
      <c r="A18" s="849" t="s">
        <v>60</v>
      </c>
      <c r="B18" s="850"/>
      <c r="C18" s="850"/>
      <c r="D18" s="850"/>
      <c r="E18" s="850"/>
      <c r="F18" s="23" t="s">
        <v>64</v>
      </c>
      <c r="G18" s="844"/>
      <c r="H18" s="29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31"/>
      <c r="AB18" s="859"/>
    </row>
    <row r="19" spans="1:28" ht="15.75" customHeight="1" thickBot="1" x14ac:dyDescent="0.4">
      <c r="A19" s="827" t="s">
        <v>65</v>
      </c>
      <c r="B19" s="828"/>
      <c r="C19" s="828"/>
      <c r="D19" s="828"/>
      <c r="E19" s="828"/>
      <c r="F19" s="256">
        <f>F12</f>
        <v>3.0000000000000001E-3</v>
      </c>
      <c r="G19" s="845"/>
      <c r="H19" s="32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5"/>
      <c r="AB19" s="860"/>
    </row>
    <row r="20" spans="1:28" ht="15" customHeight="1" x14ac:dyDescent="0.35">
      <c r="A20" s="840" t="s">
        <v>66</v>
      </c>
      <c r="B20" s="841"/>
      <c r="C20" s="841"/>
      <c r="D20" s="841"/>
      <c r="E20" s="841"/>
      <c r="F20" s="842"/>
      <c r="G20" s="851" t="s">
        <v>67</v>
      </c>
      <c r="H20" s="37"/>
      <c r="I20" s="37"/>
      <c r="J20" s="48"/>
      <c r="K20" s="48"/>
      <c r="L20" s="48"/>
      <c r="M20" s="38"/>
      <c r="N20" s="48"/>
      <c r="O20" s="39" t="s">
        <v>46</v>
      </c>
      <c r="P20" s="39">
        <v>882</v>
      </c>
      <c r="Q20" s="39" t="s">
        <v>39</v>
      </c>
      <c r="R20" s="49">
        <f>F21</f>
        <v>0.21400000000000008</v>
      </c>
      <c r="S20" s="37"/>
      <c r="T20" s="50"/>
      <c r="U20" s="48" t="s">
        <v>26</v>
      </c>
      <c r="V20" s="37"/>
      <c r="W20" s="37"/>
      <c r="X20" s="37"/>
      <c r="Y20" s="37"/>
      <c r="Z20" s="37"/>
      <c r="AA20" s="37"/>
      <c r="AB20" s="854">
        <f>(P20*R20+(M22*P22*R22*T22))*W22</f>
        <v>270.71415000000013</v>
      </c>
    </row>
    <row r="21" spans="1:28" ht="15" customHeight="1" x14ac:dyDescent="0.35">
      <c r="A21" s="849" t="s">
        <v>152</v>
      </c>
      <c r="B21" s="850"/>
      <c r="C21" s="850"/>
      <c r="D21" s="850"/>
      <c r="E21" s="850"/>
      <c r="F21" s="51">
        <f>1-0.02*(40-F25)</f>
        <v>0.21400000000000008</v>
      </c>
      <c r="G21" s="852"/>
      <c r="H21" s="849" t="s">
        <v>25</v>
      </c>
      <c r="I21" s="850"/>
      <c r="J21" s="850"/>
      <c r="K21" s="850"/>
      <c r="L21" s="850"/>
      <c r="M21" s="850"/>
      <c r="N21" s="850"/>
      <c r="O21" s="850"/>
      <c r="P21" s="850"/>
      <c r="Q21" s="850"/>
      <c r="R21" s="850"/>
      <c r="S21" s="850"/>
      <c r="T21" s="850"/>
      <c r="U21" s="850"/>
      <c r="V21" s="850"/>
      <c r="W21" s="850"/>
      <c r="X21" s="850"/>
      <c r="Y21" s="850"/>
      <c r="Z21" s="24"/>
      <c r="AA21" s="24"/>
      <c r="AB21" s="855"/>
    </row>
    <row r="22" spans="1:28" x14ac:dyDescent="0.35">
      <c r="A22" s="849" t="s">
        <v>153</v>
      </c>
      <c r="B22" s="850"/>
      <c r="C22" s="850"/>
      <c r="D22" s="850"/>
      <c r="E22" s="850"/>
      <c r="F22" s="51">
        <f>1+0.01*(3-1)</f>
        <v>1.02</v>
      </c>
      <c r="G22" s="852"/>
      <c r="H22" s="47"/>
      <c r="I22" s="47"/>
      <c r="J22" s="14"/>
      <c r="K22" s="14"/>
      <c r="L22" s="26" t="s">
        <v>46</v>
      </c>
      <c r="M22" s="24">
        <v>11</v>
      </c>
      <c r="N22" s="24" t="s">
        <v>39</v>
      </c>
      <c r="O22" s="14"/>
      <c r="P22" s="28">
        <f>F25</f>
        <v>0.7</v>
      </c>
      <c r="Q22" s="24" t="s">
        <v>39</v>
      </c>
      <c r="R22" s="28">
        <f>F23</f>
        <v>1.5</v>
      </c>
      <c r="S22" s="24" t="s">
        <v>39</v>
      </c>
      <c r="T22" s="52">
        <f>F22</f>
        <v>1.02</v>
      </c>
      <c r="U22" s="28" t="s">
        <v>26</v>
      </c>
      <c r="V22" s="20" t="s">
        <v>39</v>
      </c>
      <c r="W22" s="233">
        <v>1.35</v>
      </c>
      <c r="X22" s="47"/>
      <c r="Y22" s="47"/>
      <c r="Z22" s="47"/>
      <c r="AA22" s="857" t="s">
        <v>40</v>
      </c>
      <c r="AB22" s="855"/>
    </row>
    <row r="23" spans="1:28" x14ac:dyDescent="0.35">
      <c r="A23" s="849" t="s">
        <v>68</v>
      </c>
      <c r="B23" s="850"/>
      <c r="C23" s="850"/>
      <c r="D23" s="850"/>
      <c r="E23" s="850"/>
      <c r="F23" s="23">
        <f>1.5</f>
        <v>1.5</v>
      </c>
      <c r="G23" s="852"/>
      <c r="H23" s="850"/>
      <c r="I23" s="850"/>
      <c r="J23" s="850"/>
      <c r="K23" s="850"/>
      <c r="L23" s="850"/>
      <c r="M23" s="850"/>
      <c r="N23" s="850"/>
      <c r="O23" s="850"/>
      <c r="P23" s="850"/>
      <c r="Q23" s="850"/>
      <c r="R23" s="850"/>
      <c r="S23" s="850"/>
      <c r="T23" s="850"/>
      <c r="U23" s="850"/>
      <c r="V23" s="850"/>
      <c r="W23" s="850"/>
      <c r="X23" s="850"/>
      <c r="Y23" s="850"/>
      <c r="Z23" s="24"/>
      <c r="AA23" s="857"/>
      <c r="AB23" s="855"/>
    </row>
    <row r="24" spans="1:28" x14ac:dyDescent="0.35">
      <c r="A24" s="849" t="s">
        <v>60</v>
      </c>
      <c r="B24" s="850"/>
      <c r="C24" s="850"/>
      <c r="D24" s="850"/>
      <c r="E24" s="850"/>
      <c r="F24" s="23" t="s">
        <v>61</v>
      </c>
      <c r="G24" s="852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855"/>
    </row>
    <row r="25" spans="1:28" ht="15.75" customHeight="1" thickBot="1" x14ac:dyDescent="0.4">
      <c r="A25" s="827" t="s">
        <v>69</v>
      </c>
      <c r="B25" s="828"/>
      <c r="C25" s="828"/>
      <c r="D25" s="828"/>
      <c r="E25" s="828"/>
      <c r="F25" s="234">
        <f>700/1000</f>
        <v>0.7</v>
      </c>
      <c r="G25" s="85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856"/>
    </row>
    <row r="26" spans="1:28" ht="15" customHeight="1" x14ac:dyDescent="0.35">
      <c r="A26" s="840" t="s">
        <v>70</v>
      </c>
      <c r="B26" s="841"/>
      <c r="C26" s="841"/>
      <c r="D26" s="841"/>
      <c r="E26" s="841"/>
      <c r="F26" s="842"/>
      <c r="G26" s="843" t="s">
        <v>154</v>
      </c>
      <c r="H26" s="53"/>
      <c r="I26" s="37"/>
      <c r="J26" s="37"/>
      <c r="K26" s="37"/>
      <c r="L26" s="38"/>
      <c r="M26" s="38" t="s">
        <v>46</v>
      </c>
      <c r="N26" s="39">
        <v>1218</v>
      </c>
      <c r="O26" t="s">
        <v>39</v>
      </c>
      <c r="P26" s="40">
        <f>F27</f>
        <v>0.14200000000000002</v>
      </c>
      <c r="Q26" s="39" t="s">
        <v>26</v>
      </c>
      <c r="R26" s="54"/>
      <c r="S26" s="37"/>
      <c r="T26" s="37"/>
      <c r="U26" s="37"/>
      <c r="V26" s="37"/>
      <c r="W26" s="37"/>
      <c r="X26" s="37"/>
      <c r="Y26" s="37"/>
      <c r="Z26" s="37"/>
      <c r="AA26" s="42"/>
      <c r="AB26" s="846">
        <f>((N26*P26)+(L28*N28*P28))*W28</f>
        <v>421.45110000000005</v>
      </c>
    </row>
    <row r="27" spans="1:28" ht="15" customHeight="1" x14ac:dyDescent="0.35">
      <c r="A27" s="849" t="s">
        <v>155</v>
      </c>
      <c r="B27" s="850"/>
      <c r="C27" s="850"/>
      <c r="D27" s="850"/>
      <c r="E27" s="850"/>
      <c r="F27" s="43">
        <f>1-0.06*(15-F30)</f>
        <v>0.14200000000000002</v>
      </c>
      <c r="G27" s="844"/>
      <c r="H27" s="849"/>
      <c r="I27" s="850"/>
      <c r="J27" s="850"/>
      <c r="K27" s="850"/>
      <c r="L27" s="850"/>
      <c r="M27" s="850"/>
      <c r="N27" s="850"/>
      <c r="O27" s="850"/>
      <c r="P27" s="850"/>
      <c r="Q27" s="850"/>
      <c r="R27" s="850"/>
      <c r="S27" s="850"/>
      <c r="T27" s="850"/>
      <c r="U27" s="850"/>
      <c r="V27" s="850"/>
      <c r="W27" s="850"/>
      <c r="X27" s="850"/>
      <c r="Y27" s="850"/>
      <c r="Z27" s="24"/>
      <c r="AA27" s="44"/>
      <c r="AB27" s="847"/>
    </row>
    <row r="28" spans="1:28" x14ac:dyDescent="0.35">
      <c r="A28" s="849" t="s">
        <v>153</v>
      </c>
      <c r="B28" s="850"/>
      <c r="C28" s="850"/>
      <c r="D28" s="850"/>
      <c r="E28" s="850"/>
      <c r="F28" s="43">
        <f>1+0.01*(3-1)</f>
        <v>1.02</v>
      </c>
      <c r="G28" s="844"/>
      <c r="H28" s="29"/>
      <c r="I28" s="20"/>
      <c r="J28" s="14"/>
      <c r="K28" s="26" t="s">
        <v>46</v>
      </c>
      <c r="L28" s="24">
        <v>195</v>
      </c>
      <c r="M28" s="24" t="s">
        <v>39</v>
      </c>
      <c r="N28" s="28">
        <f>F30</f>
        <v>0.7</v>
      </c>
      <c r="O28" s="55" t="s">
        <v>39</v>
      </c>
      <c r="P28" s="52">
        <f>F28</f>
        <v>1.02</v>
      </c>
      <c r="Q28" s="24" t="s">
        <v>26</v>
      </c>
      <c r="R28" s="28"/>
      <c r="S28" s="14"/>
      <c r="T28" s="20"/>
      <c r="U28" s="14"/>
      <c r="V28" s="20" t="s">
        <v>39</v>
      </c>
      <c r="W28" s="233">
        <v>1.35</v>
      </c>
      <c r="X28" s="20"/>
      <c r="Y28" s="20"/>
      <c r="Z28" s="20"/>
      <c r="AA28" s="31" t="s">
        <v>40</v>
      </c>
      <c r="AB28" s="847"/>
    </row>
    <row r="29" spans="1:28" x14ac:dyDescent="0.35">
      <c r="A29" s="849" t="s">
        <v>60</v>
      </c>
      <c r="B29" s="850"/>
      <c r="C29" s="850"/>
      <c r="D29" s="850"/>
      <c r="E29" s="850"/>
      <c r="F29" s="56" t="s">
        <v>61</v>
      </c>
      <c r="G29" s="844"/>
      <c r="H29" s="849"/>
      <c r="I29" s="850"/>
      <c r="J29" s="850"/>
      <c r="K29" s="850"/>
      <c r="L29" s="850"/>
      <c r="M29" s="850"/>
      <c r="N29" s="850"/>
      <c r="O29" s="850"/>
      <c r="P29" s="850"/>
      <c r="Q29" s="850"/>
      <c r="R29" s="850"/>
      <c r="S29" s="850"/>
      <c r="T29" s="850"/>
      <c r="U29" s="850"/>
      <c r="V29" s="850"/>
      <c r="W29" s="850"/>
      <c r="X29" s="850"/>
      <c r="Y29" s="850"/>
      <c r="Z29" s="24"/>
      <c r="AA29" s="44"/>
      <c r="AB29" s="847"/>
    </row>
    <row r="30" spans="1:28" ht="39" customHeight="1" thickBot="1" x14ac:dyDescent="0.4">
      <c r="A30" s="827" t="s">
        <v>71</v>
      </c>
      <c r="B30" s="828"/>
      <c r="C30" s="828"/>
      <c r="D30" s="828"/>
      <c r="E30" s="828"/>
      <c r="F30" s="234">
        <f>F25</f>
        <v>0.7</v>
      </c>
      <c r="G30" s="845"/>
      <c r="H30" s="32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5"/>
      <c r="AB30" s="848"/>
    </row>
    <row r="31" spans="1:28" ht="27.75" customHeight="1" x14ac:dyDescent="0.35">
      <c r="A31" s="829" t="s">
        <v>72</v>
      </c>
      <c r="B31" s="830"/>
      <c r="C31" s="830"/>
      <c r="D31" s="830"/>
      <c r="E31" s="830"/>
      <c r="F31" s="831"/>
      <c r="G31" s="832" t="s">
        <v>73</v>
      </c>
      <c r="H31" s="57"/>
      <c r="I31" s="58"/>
      <c r="J31" s="58"/>
      <c r="K31" s="58"/>
      <c r="L31" s="58"/>
      <c r="M31" s="58"/>
      <c r="N31" s="59"/>
      <c r="O31" s="59"/>
      <c r="P31" s="59"/>
      <c r="Q31" s="59"/>
      <c r="R31" s="58"/>
      <c r="S31" s="58"/>
      <c r="T31" s="58"/>
      <c r="U31" s="58"/>
      <c r="V31" s="58"/>
      <c r="W31" s="58"/>
      <c r="X31" s="58"/>
      <c r="Y31" s="58"/>
      <c r="Z31" s="58"/>
      <c r="AA31" s="60"/>
      <c r="AB31" s="834">
        <f>(F32*F33)</f>
        <v>2600</v>
      </c>
    </row>
    <row r="32" spans="1:28" ht="15" customHeight="1" x14ac:dyDescent="0.35">
      <c r="A32" s="836" t="s">
        <v>74</v>
      </c>
      <c r="B32" s="837"/>
      <c r="C32" s="837"/>
      <c r="D32" s="837"/>
      <c r="E32" s="837"/>
      <c r="F32" s="61">
        <v>130</v>
      </c>
      <c r="G32" s="833"/>
      <c r="H32" s="62"/>
      <c r="I32" s="63"/>
      <c r="J32" s="63"/>
      <c r="K32" s="63"/>
      <c r="L32" s="63"/>
      <c r="M32" s="63"/>
      <c r="N32" s="59">
        <f>F32</f>
        <v>130</v>
      </c>
      <c r="O32" s="59" t="s">
        <v>39</v>
      </c>
      <c r="P32" s="235">
        <f>F33</f>
        <v>20</v>
      </c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4"/>
      <c r="AB32" s="835"/>
    </row>
    <row r="33" spans="1:32" ht="15" customHeight="1" thickBot="1" x14ac:dyDescent="0.4">
      <c r="A33" s="836" t="s">
        <v>75</v>
      </c>
      <c r="B33" s="837"/>
      <c r="C33" s="837"/>
      <c r="D33" s="837"/>
      <c r="E33" s="837"/>
      <c r="F33" s="61">
        <v>20</v>
      </c>
      <c r="G33" s="833"/>
      <c r="H33" s="65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61"/>
      <c r="AB33" s="835"/>
    </row>
    <row r="34" spans="1:32" ht="20.25" customHeight="1" x14ac:dyDescent="0.35">
      <c r="A34" s="829" t="s">
        <v>76</v>
      </c>
      <c r="B34" s="830"/>
      <c r="C34" s="830"/>
      <c r="D34" s="830"/>
      <c r="E34" s="830"/>
      <c r="F34" s="831"/>
      <c r="G34" s="832" t="s">
        <v>73</v>
      </c>
      <c r="H34" s="57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60"/>
      <c r="AB34" s="838">
        <f>(F35*F36)</f>
        <v>2600</v>
      </c>
    </row>
    <row r="35" spans="1:32" ht="15" customHeight="1" x14ac:dyDescent="0.35">
      <c r="A35" s="836" t="s">
        <v>74</v>
      </c>
      <c r="B35" s="837"/>
      <c r="C35" s="837"/>
      <c r="D35" s="837"/>
      <c r="E35" s="837"/>
      <c r="F35" s="61">
        <v>130</v>
      </c>
      <c r="G35" s="833"/>
      <c r="H35" s="236"/>
      <c r="I35" s="66"/>
      <c r="J35" s="66"/>
      <c r="K35" s="66"/>
      <c r="L35" s="66"/>
      <c r="M35" s="66"/>
      <c r="N35" s="59">
        <f>F35</f>
        <v>130</v>
      </c>
      <c r="O35" s="59" t="s">
        <v>39</v>
      </c>
      <c r="P35" s="235">
        <f>F36</f>
        <v>20</v>
      </c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7"/>
      <c r="AB35" s="839"/>
    </row>
    <row r="36" spans="1:32" ht="26.25" customHeight="1" x14ac:dyDescent="0.35">
      <c r="A36" s="836" t="s">
        <v>75</v>
      </c>
      <c r="B36" s="837"/>
      <c r="C36" s="837"/>
      <c r="D36" s="837"/>
      <c r="E36" s="837"/>
      <c r="F36" s="61">
        <v>20</v>
      </c>
      <c r="G36" s="833"/>
      <c r="H36" s="65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61"/>
      <c r="AB36" s="839"/>
    </row>
    <row r="37" spans="1:32" ht="8.25" customHeight="1" thickBot="1" x14ac:dyDescent="0.4">
      <c r="A37" s="237"/>
      <c r="B37" s="238"/>
      <c r="C37" s="238"/>
      <c r="D37" s="238"/>
      <c r="E37" s="238"/>
      <c r="F37" s="24"/>
      <c r="G37" s="238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31"/>
      <c r="AB37" s="239"/>
    </row>
    <row r="38" spans="1:32" ht="24" customHeight="1" thickBot="1" x14ac:dyDescent="0.4">
      <c r="A38" s="824" t="s">
        <v>77</v>
      </c>
      <c r="B38" s="825"/>
      <c r="C38" s="825"/>
      <c r="D38" s="825"/>
      <c r="E38" s="825"/>
      <c r="F38" s="825"/>
      <c r="G38" s="825"/>
      <c r="H38" s="825"/>
      <c r="I38" s="825"/>
      <c r="J38" s="825"/>
      <c r="K38" s="825"/>
      <c r="L38" s="825"/>
      <c r="M38" s="825"/>
      <c r="N38" s="825"/>
      <c r="O38" s="825"/>
      <c r="P38" s="825"/>
      <c r="Q38" s="825"/>
      <c r="R38" s="825"/>
      <c r="S38" s="825"/>
      <c r="T38" s="825"/>
      <c r="U38" s="825"/>
      <c r="V38" s="825"/>
      <c r="W38" s="825"/>
      <c r="X38" s="825"/>
      <c r="Y38" s="825"/>
      <c r="Z38" s="825"/>
      <c r="AA38" s="826"/>
      <c r="AB38" s="68">
        <f>SUM(AB8:AB37)</f>
        <v>6163.6585135000005</v>
      </c>
      <c r="AE38" s="240"/>
      <c r="AF38" s="240"/>
    </row>
    <row r="42" spans="1:32" x14ac:dyDescent="0.35">
      <c r="D42" s="535" t="s">
        <v>188</v>
      </c>
      <c r="E42" s="535"/>
      <c r="F42" s="535"/>
      <c r="G42" s="535"/>
      <c r="H42" s="535"/>
      <c r="I42" s="535"/>
      <c r="J42" s="535"/>
      <c r="K42" s="535"/>
      <c r="L42" s="535"/>
      <c r="M42" s="535"/>
      <c r="N42" s="535"/>
      <c r="O42" s="535"/>
      <c r="P42" s="535"/>
      <c r="Q42" s="535"/>
      <c r="R42" s="535"/>
    </row>
  </sheetData>
  <mergeCells count="65">
    <mergeCell ref="AG3:AI3"/>
    <mergeCell ref="AG4:AI4"/>
    <mergeCell ref="AG5:AH5"/>
    <mergeCell ref="A5:E5"/>
    <mergeCell ref="A4:E4"/>
    <mergeCell ref="G3:Q3"/>
    <mergeCell ref="G4:Q4"/>
    <mergeCell ref="G5:Q5"/>
    <mergeCell ref="A3:F3"/>
    <mergeCell ref="D42:R42"/>
    <mergeCell ref="A6:F6"/>
    <mergeCell ref="H6:AA6"/>
    <mergeCell ref="A1:AB1"/>
    <mergeCell ref="A2:AB2"/>
    <mergeCell ref="A8:F8"/>
    <mergeCell ref="G8:G12"/>
    <mergeCell ref="AB8:AB12"/>
    <mergeCell ref="A9:E9"/>
    <mergeCell ref="H9:Y9"/>
    <mergeCell ref="AA9:AA10"/>
    <mergeCell ref="A10:E10"/>
    <mergeCell ref="A11:E11"/>
    <mergeCell ref="A12:E12"/>
    <mergeCell ref="A13:F13"/>
    <mergeCell ref="G13:G19"/>
    <mergeCell ref="AB13:AB19"/>
    <mergeCell ref="A14:E14"/>
    <mergeCell ref="H14:Y14"/>
    <mergeCell ref="A15:E15"/>
    <mergeCell ref="AA15:AA16"/>
    <mergeCell ref="A16:E16"/>
    <mergeCell ref="A17:E17"/>
    <mergeCell ref="A18:E18"/>
    <mergeCell ref="A19:E19"/>
    <mergeCell ref="A20:F20"/>
    <mergeCell ref="G20:G25"/>
    <mergeCell ref="AB20:AB25"/>
    <mergeCell ref="A21:E21"/>
    <mergeCell ref="H21:Y21"/>
    <mergeCell ref="A22:E22"/>
    <mergeCell ref="AA22:AA23"/>
    <mergeCell ref="A23:E23"/>
    <mergeCell ref="H23:Y23"/>
    <mergeCell ref="A24:E24"/>
    <mergeCell ref="A25:E25"/>
    <mergeCell ref="A26:F26"/>
    <mergeCell ref="G26:G30"/>
    <mergeCell ref="AB26:AB30"/>
    <mergeCell ref="A27:E27"/>
    <mergeCell ref="H27:Y27"/>
    <mergeCell ref="A28:E28"/>
    <mergeCell ref="A29:E29"/>
    <mergeCell ref="H29:Y29"/>
    <mergeCell ref="A38:AA38"/>
    <mergeCell ref="A30:E30"/>
    <mergeCell ref="A31:F31"/>
    <mergeCell ref="G31:G33"/>
    <mergeCell ref="AB31:AB33"/>
    <mergeCell ref="A32:E32"/>
    <mergeCell ref="A33:E33"/>
    <mergeCell ref="A34:F34"/>
    <mergeCell ref="G34:G36"/>
    <mergeCell ref="AB34:AB36"/>
    <mergeCell ref="A35:E35"/>
    <mergeCell ref="A36:E36"/>
  </mergeCells>
  <pageMargins left="0.7" right="0.7" top="0.75" bottom="0.75" header="0.3" footer="0.3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2</vt:i4>
      </vt:variant>
    </vt:vector>
  </HeadingPairs>
  <TitlesOfParts>
    <vt:vector size="13" baseType="lpstr">
      <vt:lpstr>Лист1</vt:lpstr>
      <vt:lpstr>СВОД.ПС+ВЛ</vt:lpstr>
      <vt:lpstr>  ПД ПС</vt:lpstr>
      <vt:lpstr>РД ПС</vt:lpstr>
      <vt:lpstr>геодез.ПС</vt:lpstr>
      <vt:lpstr>геолПС</vt:lpstr>
      <vt:lpstr>Экология</vt:lpstr>
      <vt:lpstr>проект планир </vt:lpstr>
      <vt:lpstr>Землеустр ПС</vt:lpstr>
      <vt:lpstr>ЭКСПЕРТИЗА</vt:lpstr>
      <vt:lpstr>ГРАФИК</vt:lpstr>
      <vt:lpstr>ГРАФИК!_Toc247081505</vt:lpstr>
      <vt:lpstr>'СВОД.ПС+ВЛ'!Область_печати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Kalinin Pavel</dc:creator>
  <cp:lastModifiedBy>Kalinin Pavel</cp:lastModifiedBy>
  <cp:lastPrinted>2023-02-12T12:12:32Z</cp:lastPrinted>
  <dcterms:created xsi:type="dcterms:W3CDTF">2023-01-18T02:48:17Z</dcterms:created>
  <dcterms:modified xsi:type="dcterms:W3CDTF">2023-02-16T08:32:55Z</dcterms:modified>
</cp:coreProperties>
</file>