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525" windowWidth="15450" windowHeight="114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0" i="1" l="1"/>
  <c r="E11" i="1"/>
  <c r="E12" i="1"/>
  <c r="D11" i="1"/>
  <c r="E7" i="1"/>
  <c r="D7" i="1"/>
  <c r="E13" i="1" l="1"/>
  <c r="D13" i="1"/>
  <c r="C13" i="1"/>
  <c r="D12" i="1"/>
  <c r="C12" i="1"/>
  <c r="F12" i="1" s="1"/>
  <c r="Q25" i="1" s="1"/>
  <c r="C11" i="1"/>
  <c r="F11" i="1" s="1"/>
  <c r="D10" i="1"/>
  <c r="D9" i="1"/>
  <c r="C10" i="1"/>
  <c r="F10" i="1" s="1"/>
  <c r="M23" i="1" s="1"/>
  <c r="R23" i="1" s="1"/>
  <c r="E9" i="1"/>
  <c r="C9" i="1"/>
  <c r="E8" i="1"/>
  <c r="D8" i="1"/>
  <c r="C8" i="1"/>
  <c r="C7" i="1"/>
  <c r="P24" i="1" l="1"/>
  <c r="O24" i="1"/>
  <c r="R25" i="1"/>
  <c r="Q27" i="1"/>
  <c r="Q28" i="1" s="1"/>
  <c r="F7" i="1"/>
  <c r="M20" i="1" s="1"/>
  <c r="F13" i="1"/>
  <c r="N26" i="1" s="1"/>
  <c r="F9" i="1"/>
  <c r="M22" i="1" s="1"/>
  <c r="R22" i="1" s="1"/>
  <c r="F8" i="1"/>
  <c r="R24" i="1" l="1"/>
  <c r="R26" i="1"/>
  <c r="N27" i="1"/>
  <c r="N28" i="1" s="1"/>
  <c r="R20" i="1"/>
  <c r="M27" i="1"/>
  <c r="M28" i="1" s="1"/>
  <c r="O21" i="1"/>
  <c r="P21" i="1"/>
  <c r="P27" i="1" s="1"/>
  <c r="P28" i="1" s="1"/>
  <c r="R21" i="1" l="1"/>
  <c r="R27" i="1" s="1"/>
  <c r="R28" i="1" s="1"/>
  <c r="O27" i="1"/>
  <c r="O28" i="1" s="1"/>
</calcChain>
</file>

<file path=xl/sharedStrings.xml><?xml version="1.0" encoding="utf-8"?>
<sst xmlns="http://schemas.openxmlformats.org/spreadsheetml/2006/main" count="47" uniqueCount="30">
  <si>
    <t>Наименование</t>
  </si>
  <si>
    <t>№</t>
  </si>
  <si>
    <t>Лада Веста</t>
  </si>
  <si>
    <t xml:space="preserve">Лада Ларгус </t>
  </si>
  <si>
    <t>Соболь ГАЗ 22177</t>
  </si>
  <si>
    <t>Соболь ГАЗ 27527</t>
  </si>
  <si>
    <t>Вахтовка на базе Садко</t>
  </si>
  <si>
    <t>Автокран</t>
  </si>
  <si>
    <t>Передвижная ЭТЛ</t>
  </si>
  <si>
    <t>Коммерческое предложение 1</t>
  </si>
  <si>
    <t>Коммерческое предложение 2</t>
  </si>
  <si>
    <t>Коммерческое предложение 3</t>
  </si>
  <si>
    <t>ИПЦ Минэкономразвития</t>
  </si>
  <si>
    <t xml:space="preserve">Наименование </t>
  </si>
  <si>
    <t xml:space="preserve">№ </t>
  </si>
  <si>
    <t>Количество, шт.</t>
  </si>
  <si>
    <t>2023 год</t>
  </si>
  <si>
    <t>2024 год</t>
  </si>
  <si>
    <t>2025 год</t>
  </si>
  <si>
    <t>2026 год</t>
  </si>
  <si>
    <t>2027 год</t>
  </si>
  <si>
    <t>Расчет средней стоимости на основании коммерческих предложений</t>
  </si>
  <si>
    <t>Стоимость с учетом ИПЦ,  руб.</t>
  </si>
  <si>
    <t>Всего без НДС, руб.</t>
  </si>
  <si>
    <t>Всего с НДС, руб.</t>
  </si>
  <si>
    <t>Всего 2023-2027 гг.</t>
  </si>
  <si>
    <t xml:space="preserve">Средняя стоимость за единицу, без НДС руб. </t>
  </si>
  <si>
    <t>Расчет стоимости по инвестиционному проекту М_017 " Приобретение автотранспорта и спецтехники"</t>
  </si>
  <si>
    <t>Расчет стоимости на 2023-2027 гг.</t>
  </si>
  <si>
    <t>Стоимость, без НДС руб. в ценах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</si>
</sst>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1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justify" vertical="top"/>
    </xf>
    <xf numFmtId="164" fontId="1" fillId="0" borderId="3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top" wrapText="1"/>
    </xf>
    <xf numFmtId="164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justify" vertical="top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justify" vertical="top"/>
    </xf>
    <xf numFmtId="164" fontId="2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justify" vertical="top" wrapText="1"/>
    </xf>
    <xf numFmtId="164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justify" vertical="top"/>
    </xf>
    <xf numFmtId="164" fontId="2" fillId="0" borderId="0" xfId="0" applyNumberFormat="1" applyFont="1" applyBorder="1" applyAlignment="1">
      <alignment horizontal="justify" vertical="top"/>
    </xf>
    <xf numFmtId="0" fontId="3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164" fontId="1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164" fontId="2" fillId="0" borderId="1" xfId="0" applyNumberFormat="1" applyFont="1" applyBorder="1"/>
    <xf numFmtId="164" fontId="2" fillId="0" borderId="1" xfId="0" applyNumberFormat="1" applyFont="1" applyBorder="1" applyAlignment="1">
      <alignment horizontal="center" vertical="center"/>
    </xf>
    <xf numFmtId="164" fontId="1" fillId="0" borderId="0" xfId="0" applyNumberFormat="1" applyFont="1"/>
    <xf numFmtId="164" fontId="1" fillId="0" borderId="1" xfId="0" applyNumberFormat="1" applyFont="1" applyBorder="1" applyAlignment="1">
      <alignment horizontal="center" vertical="top"/>
    </xf>
    <xf numFmtId="0" fontId="1" fillId="0" borderId="2" xfId="0" applyFont="1" applyBorder="1" applyAlignment="1"/>
    <xf numFmtId="0" fontId="4" fillId="0" borderId="3" xfId="0" applyFont="1" applyBorder="1" applyAlignment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justify" vertical="top"/>
    </xf>
    <xf numFmtId="0" fontId="1" fillId="0" borderId="5" xfId="0" applyFont="1" applyBorder="1" applyAlignment="1">
      <alignment horizontal="justify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31"/>
  <sheetViews>
    <sheetView tabSelected="1" zoomScaleNormal="100" workbookViewId="0">
      <pane xSplit="1" ySplit="6" topLeftCell="B7" activePane="bottomRight" state="frozen"/>
      <selection pane="topRight" activeCell="B1" sqref="B1"/>
      <selection pane="bottomLeft" activeCell="A5" sqref="A5"/>
      <selection pane="bottomRight" activeCell="K14" sqref="K14"/>
    </sheetView>
  </sheetViews>
  <sheetFormatPr defaultColWidth="17.140625" defaultRowHeight="15" x14ac:dyDescent="0.25"/>
  <cols>
    <col min="1" max="1" width="5.28515625" style="1" customWidth="1"/>
    <col min="2" max="2" width="31.7109375" style="3" customWidth="1"/>
    <col min="3" max="3" width="14.85546875" style="3" customWidth="1"/>
    <col min="4" max="4" width="16.28515625" style="3" customWidth="1"/>
    <col min="5" max="5" width="16.7109375" style="3" customWidth="1"/>
    <col min="6" max="6" width="14.85546875" style="3" customWidth="1"/>
    <col min="7" max="7" width="11.140625" style="3" customWidth="1"/>
    <col min="8" max="8" width="10.140625" style="3" customWidth="1"/>
    <col min="9" max="9" width="8.28515625" style="3" customWidth="1"/>
    <col min="10" max="10" width="8.7109375" style="3" customWidth="1"/>
    <col min="11" max="11" width="9" style="3" customWidth="1"/>
    <col min="12" max="12" width="10.28515625" style="3" customWidth="1"/>
    <col min="13" max="13" width="16.5703125" style="3" customWidth="1"/>
    <col min="14" max="14" width="17" style="3" customWidth="1"/>
    <col min="15" max="15" width="16" style="3" customWidth="1"/>
    <col min="16" max="16" width="16.140625" style="3" customWidth="1"/>
    <col min="17" max="17" width="16.85546875" style="3" customWidth="1"/>
    <col min="18" max="16384" width="17.140625" style="3"/>
  </cols>
  <sheetData>
    <row r="2" spans="1:16" x14ac:dyDescent="0.25">
      <c r="B2" s="2" t="s">
        <v>27</v>
      </c>
    </row>
    <row r="3" spans="1:16" ht="41.25" customHeight="1" x14ac:dyDescent="0.25">
      <c r="A3" s="32" t="s">
        <v>21</v>
      </c>
      <c r="B3" s="32"/>
      <c r="C3" s="32"/>
      <c r="D3" s="32"/>
      <c r="E3" s="32"/>
      <c r="F3" s="32"/>
    </row>
    <row r="4" spans="1:16" ht="11.25" customHeight="1" x14ac:dyDescent="0.25"/>
    <row r="5" spans="1:16" ht="24.75" customHeight="1" x14ac:dyDescent="0.25">
      <c r="A5" s="37" t="s">
        <v>1</v>
      </c>
      <c r="B5" s="35" t="s">
        <v>0</v>
      </c>
      <c r="C5" s="34" t="s">
        <v>29</v>
      </c>
      <c r="D5" s="34"/>
      <c r="E5" s="34"/>
      <c r="F5" s="39" t="s">
        <v>26</v>
      </c>
    </row>
    <row r="6" spans="1:16" ht="51" customHeight="1" thickBot="1" x14ac:dyDescent="0.3">
      <c r="A6" s="38"/>
      <c r="B6" s="36"/>
      <c r="C6" s="4" t="s">
        <v>9</v>
      </c>
      <c r="D6" s="4" t="s">
        <v>10</v>
      </c>
      <c r="E6" s="4" t="s">
        <v>11</v>
      </c>
      <c r="F6" s="40"/>
    </row>
    <row r="7" spans="1:16" x14ac:dyDescent="0.25">
      <c r="A7" s="5">
        <v>1</v>
      </c>
      <c r="B7" s="6" t="s">
        <v>2</v>
      </c>
      <c r="C7" s="7">
        <f>1475900/1.2</f>
        <v>1229916.6666666667</v>
      </c>
      <c r="D7" s="8">
        <f>1497900/1.2</f>
        <v>1248250</v>
      </c>
      <c r="E7" s="7">
        <f>1475900/1.2</f>
        <v>1229916.6666666667</v>
      </c>
      <c r="F7" s="7">
        <f>(C7+D7+E7)/3</f>
        <v>1236027.777777778</v>
      </c>
    </row>
    <row r="8" spans="1:16" x14ac:dyDescent="0.25">
      <c r="A8" s="9">
        <v>2</v>
      </c>
      <c r="B8" s="10" t="s">
        <v>3</v>
      </c>
      <c r="C8" s="8">
        <f>1397900/1.2</f>
        <v>1164916.6666666667</v>
      </c>
      <c r="D8" s="8">
        <f>1097900/1.2</f>
        <v>914916.66666666674</v>
      </c>
      <c r="E8" s="8">
        <f>1297900/1.2</f>
        <v>1081583.3333333335</v>
      </c>
      <c r="F8" s="8">
        <f>(C8+D8+E8)/3</f>
        <v>1053805.5555555557</v>
      </c>
    </row>
    <row r="9" spans="1:16" x14ac:dyDescent="0.25">
      <c r="A9" s="9">
        <v>3</v>
      </c>
      <c r="B9" s="10" t="s">
        <v>4</v>
      </c>
      <c r="C9" s="8">
        <f>1696600/1.2</f>
        <v>1413833.3333333335</v>
      </c>
      <c r="D9" s="8">
        <f>1948500/1.2</f>
        <v>1623750</v>
      </c>
      <c r="E9" s="8">
        <f>1724500/1.2</f>
        <v>1437083.3333333335</v>
      </c>
      <c r="F9" s="8">
        <f t="shared" ref="F9:F13" si="0">(C9+D9+E9)/3</f>
        <v>1491555.5555555557</v>
      </c>
    </row>
    <row r="10" spans="1:16" x14ac:dyDescent="0.25">
      <c r="A10" s="9">
        <v>4</v>
      </c>
      <c r="B10" s="10" t="s">
        <v>5</v>
      </c>
      <c r="C10" s="11">
        <f>1566000/1.2</f>
        <v>1305000</v>
      </c>
      <c r="D10" s="11">
        <f>1925500/1.2</f>
        <v>1604583.3333333335</v>
      </c>
      <c r="E10" s="11">
        <f>1725000/1.2</f>
        <v>1437500</v>
      </c>
      <c r="F10" s="11">
        <f>(C10+D10+E10)/3</f>
        <v>1449027.777777778</v>
      </c>
    </row>
    <row r="11" spans="1:16" s="2" customFormat="1" ht="15.75" customHeight="1" x14ac:dyDescent="0.2">
      <c r="A11" s="9">
        <v>5</v>
      </c>
      <c r="B11" s="12" t="s">
        <v>6</v>
      </c>
      <c r="C11" s="11">
        <f>4900000/1.2</f>
        <v>4083333.3333333335</v>
      </c>
      <c r="D11" s="11">
        <f>5120000/1.2</f>
        <v>4266666.666666667</v>
      </c>
      <c r="E11" s="11">
        <f>4950000/1.2</f>
        <v>4125000</v>
      </c>
      <c r="F11" s="11">
        <f>(C11+D11+E11)/3</f>
        <v>4158333.3333333335</v>
      </c>
    </row>
    <row r="12" spans="1:16" x14ac:dyDescent="0.25">
      <c r="A12" s="9">
        <v>6</v>
      </c>
      <c r="B12" s="10" t="s">
        <v>7</v>
      </c>
      <c r="C12" s="11">
        <f>11450000/1.2</f>
        <v>9541666.6666666679</v>
      </c>
      <c r="D12" s="11">
        <f>12200000/1.2</f>
        <v>10166666.666666668</v>
      </c>
      <c r="E12" s="11">
        <f>9850000/1.2</f>
        <v>8208333.333333334</v>
      </c>
      <c r="F12" s="11">
        <f>(C12+D12+E12)/3</f>
        <v>9305555.5555555578</v>
      </c>
    </row>
    <row r="13" spans="1:16" x14ac:dyDescent="0.25">
      <c r="A13" s="9">
        <v>7</v>
      </c>
      <c r="B13" s="10" t="s">
        <v>8</v>
      </c>
      <c r="C13" s="11">
        <f>16037055/1.2</f>
        <v>13364212.5</v>
      </c>
      <c r="D13" s="11">
        <f>17860200/1.2</f>
        <v>14883500</v>
      </c>
      <c r="E13" s="11">
        <f>18105000/1.2</f>
        <v>15087500</v>
      </c>
      <c r="F13" s="11">
        <f t="shared" si="0"/>
        <v>14445070.833333334</v>
      </c>
    </row>
    <row r="14" spans="1:16" x14ac:dyDescent="0.25">
      <c r="A14" s="13"/>
      <c r="B14" s="14"/>
      <c r="C14" s="15"/>
      <c r="D14" s="15"/>
      <c r="E14" s="15"/>
      <c r="F14" s="15"/>
    </row>
    <row r="15" spans="1:16" s="2" customFormat="1" ht="2.25" customHeight="1" x14ac:dyDescent="0.2">
      <c r="A15" s="13"/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</row>
    <row r="16" spans="1:16" ht="27" customHeight="1" x14ac:dyDescent="0.25">
      <c r="A16" s="33" t="s">
        <v>28</v>
      </c>
      <c r="B16" s="33"/>
      <c r="C16" s="33"/>
      <c r="D16" s="33"/>
      <c r="E16" s="33"/>
      <c r="F16" s="33"/>
      <c r="G16" s="17"/>
      <c r="H16" s="17"/>
      <c r="I16" s="17"/>
      <c r="J16" s="17"/>
      <c r="K16" s="17"/>
      <c r="L16" s="17"/>
      <c r="M16" s="17"/>
      <c r="N16" s="17"/>
      <c r="O16" s="17"/>
      <c r="P16" s="17"/>
    </row>
    <row r="17" spans="1:18" x14ac:dyDescent="0.25">
      <c r="A17" s="18"/>
      <c r="B17" s="19"/>
      <c r="C17" s="20"/>
      <c r="D17" s="20"/>
      <c r="E17" s="20"/>
      <c r="F17" s="20"/>
      <c r="G17" s="15"/>
      <c r="H17" s="15"/>
      <c r="I17" s="15"/>
      <c r="J17" s="15"/>
      <c r="K17" s="15"/>
      <c r="L17" s="15"/>
      <c r="M17" s="15"/>
      <c r="N17" s="15"/>
      <c r="O17" s="15"/>
      <c r="P17" s="15"/>
    </row>
    <row r="18" spans="1:18" x14ac:dyDescent="0.25">
      <c r="A18" s="9"/>
      <c r="B18" s="12"/>
      <c r="C18" s="29" t="s">
        <v>15</v>
      </c>
      <c r="D18" s="29"/>
      <c r="E18" s="29"/>
      <c r="F18" s="29"/>
      <c r="G18" s="29"/>
      <c r="H18" s="34" t="s">
        <v>12</v>
      </c>
      <c r="I18" s="34"/>
      <c r="J18" s="34"/>
      <c r="K18" s="34"/>
      <c r="L18" s="34"/>
      <c r="M18" s="34" t="s">
        <v>22</v>
      </c>
      <c r="N18" s="34"/>
      <c r="O18" s="34"/>
      <c r="P18" s="34"/>
      <c r="Q18" s="34"/>
      <c r="R18" s="30" t="s">
        <v>25</v>
      </c>
    </row>
    <row r="19" spans="1:18" ht="16.5" thickBot="1" x14ac:dyDescent="0.3">
      <c r="A19" s="21" t="s">
        <v>14</v>
      </c>
      <c r="B19" s="21" t="s">
        <v>13</v>
      </c>
      <c r="C19" s="21" t="s">
        <v>16</v>
      </c>
      <c r="D19" s="21" t="s">
        <v>17</v>
      </c>
      <c r="E19" s="21" t="s">
        <v>18</v>
      </c>
      <c r="F19" s="21" t="s">
        <v>19</v>
      </c>
      <c r="G19" s="21" t="s">
        <v>20</v>
      </c>
      <c r="H19" s="22" t="s">
        <v>16</v>
      </c>
      <c r="I19" s="22" t="s">
        <v>17</v>
      </c>
      <c r="J19" s="22" t="s">
        <v>18</v>
      </c>
      <c r="K19" s="22" t="s">
        <v>19</v>
      </c>
      <c r="L19" s="22" t="s">
        <v>20</v>
      </c>
      <c r="M19" s="22" t="s">
        <v>16</v>
      </c>
      <c r="N19" s="22" t="s">
        <v>17</v>
      </c>
      <c r="O19" s="22" t="s">
        <v>18</v>
      </c>
      <c r="P19" s="22" t="s">
        <v>19</v>
      </c>
      <c r="Q19" s="22" t="s">
        <v>20</v>
      </c>
      <c r="R19" s="31"/>
    </row>
    <row r="20" spans="1:18" x14ac:dyDescent="0.25">
      <c r="A20" s="9">
        <v>1</v>
      </c>
      <c r="B20" s="12" t="s">
        <v>2</v>
      </c>
      <c r="C20" s="23">
        <v>1</v>
      </c>
      <c r="D20" s="23"/>
      <c r="E20" s="23"/>
      <c r="F20" s="23"/>
      <c r="G20" s="23"/>
      <c r="H20" s="7">
        <v>1.04</v>
      </c>
      <c r="I20" s="7"/>
      <c r="J20" s="7"/>
      <c r="K20" s="7"/>
      <c r="L20" s="7"/>
      <c r="M20" s="7">
        <f>F7*H20*C20</f>
        <v>1285468.8888888892</v>
      </c>
      <c r="N20" s="7"/>
      <c r="O20" s="7"/>
      <c r="P20" s="7"/>
      <c r="Q20" s="7"/>
      <c r="R20" s="23">
        <f>SUM(M20:Q20)</f>
        <v>1285468.8888888892</v>
      </c>
    </row>
    <row r="21" spans="1:18" x14ac:dyDescent="0.25">
      <c r="A21" s="9">
        <v>2</v>
      </c>
      <c r="B21" s="10" t="s">
        <v>3</v>
      </c>
      <c r="C21" s="23"/>
      <c r="D21" s="23"/>
      <c r="E21" s="23">
        <v>1</v>
      </c>
      <c r="F21" s="23">
        <v>1</v>
      </c>
      <c r="G21" s="23"/>
      <c r="H21" s="8">
        <v>1.04</v>
      </c>
      <c r="I21" s="8">
        <v>1.04</v>
      </c>
      <c r="J21" s="8">
        <v>1.04</v>
      </c>
      <c r="K21" s="8">
        <v>1.04</v>
      </c>
      <c r="L21" s="8"/>
      <c r="M21" s="8"/>
      <c r="N21" s="8"/>
      <c r="O21" s="8">
        <f>F8*H21*I21*J21*E21</f>
        <v>1185387.9324444449</v>
      </c>
      <c r="P21" s="8">
        <f>F8*H21*I21*J21*K21*F21</f>
        <v>1232803.4497422227</v>
      </c>
      <c r="Q21" s="8"/>
      <c r="R21" s="23">
        <f t="shared" ref="R21:R26" si="1">SUM(M21:Q21)</f>
        <v>2418191.3821866675</v>
      </c>
    </row>
    <row r="22" spans="1:18" x14ac:dyDescent="0.25">
      <c r="A22" s="9">
        <v>3</v>
      </c>
      <c r="B22" s="10" t="s">
        <v>4</v>
      </c>
      <c r="C22" s="23">
        <v>1</v>
      </c>
      <c r="D22" s="23"/>
      <c r="E22" s="23"/>
      <c r="F22" s="23"/>
      <c r="G22" s="23"/>
      <c r="H22" s="8">
        <v>1.04</v>
      </c>
      <c r="I22" s="8"/>
      <c r="J22" s="8"/>
      <c r="K22" s="8"/>
      <c r="L22" s="8"/>
      <c r="M22" s="8">
        <f>F9*H22*C22</f>
        <v>1551217.777777778</v>
      </c>
      <c r="N22" s="8"/>
      <c r="O22" s="8"/>
      <c r="P22" s="8"/>
      <c r="Q22" s="8"/>
      <c r="R22" s="23">
        <f t="shared" si="1"/>
        <v>1551217.777777778</v>
      </c>
    </row>
    <row r="23" spans="1:18" x14ac:dyDescent="0.25">
      <c r="A23" s="9">
        <v>4</v>
      </c>
      <c r="B23" s="10" t="s">
        <v>5</v>
      </c>
      <c r="C23" s="23">
        <v>1</v>
      </c>
      <c r="D23" s="23"/>
      <c r="E23" s="23"/>
      <c r="F23" s="23"/>
      <c r="G23" s="23"/>
      <c r="H23" s="8">
        <v>1.04</v>
      </c>
      <c r="I23" s="8"/>
      <c r="J23" s="8"/>
      <c r="K23" s="8"/>
      <c r="L23" s="8"/>
      <c r="M23" s="8">
        <f>F10*H23*C23</f>
        <v>1506988.8888888892</v>
      </c>
      <c r="N23" s="8"/>
      <c r="O23" s="8"/>
      <c r="P23" s="8"/>
      <c r="Q23" s="8"/>
      <c r="R23" s="23">
        <f t="shared" si="1"/>
        <v>1506988.8888888892</v>
      </c>
    </row>
    <row r="24" spans="1:18" x14ac:dyDescent="0.25">
      <c r="A24" s="9">
        <v>5</v>
      </c>
      <c r="B24" s="12" t="s">
        <v>6</v>
      </c>
      <c r="C24" s="23"/>
      <c r="D24" s="23"/>
      <c r="E24" s="23">
        <v>1</v>
      </c>
      <c r="F24" s="23">
        <v>1</v>
      </c>
      <c r="G24" s="23"/>
      <c r="H24" s="8">
        <v>1.04</v>
      </c>
      <c r="I24" s="8">
        <v>1.04</v>
      </c>
      <c r="J24" s="8">
        <v>1.04</v>
      </c>
      <c r="K24" s="8">
        <v>1.04</v>
      </c>
      <c r="L24" s="8"/>
      <c r="M24" s="8"/>
      <c r="N24" s="8"/>
      <c r="O24" s="8">
        <f>F11*H24*I24*J24*E24</f>
        <v>4677559.4666666677</v>
      </c>
      <c r="P24" s="8">
        <f>F11*H24*I24*J24*K24*F24</f>
        <v>4864661.845333335</v>
      </c>
      <c r="Q24" s="8"/>
      <c r="R24" s="23">
        <f t="shared" si="1"/>
        <v>9542221.3120000027</v>
      </c>
    </row>
    <row r="25" spans="1:18" x14ac:dyDescent="0.25">
      <c r="A25" s="9">
        <v>6</v>
      </c>
      <c r="B25" s="10" t="s">
        <v>7</v>
      </c>
      <c r="C25" s="23"/>
      <c r="D25" s="23"/>
      <c r="E25" s="23"/>
      <c r="F25" s="23"/>
      <c r="G25" s="23">
        <v>1</v>
      </c>
      <c r="H25" s="8">
        <v>1.04</v>
      </c>
      <c r="I25" s="8">
        <v>1.04</v>
      </c>
      <c r="J25" s="8">
        <v>1.04</v>
      </c>
      <c r="K25" s="8">
        <v>1.04</v>
      </c>
      <c r="L25" s="8">
        <v>1.04</v>
      </c>
      <c r="M25" s="8"/>
      <c r="N25" s="8"/>
      <c r="O25" s="8"/>
      <c r="P25" s="8"/>
      <c r="Q25" s="8">
        <f>F12*H25*I25*J25*K25*L25*G25</f>
        <v>11321631.175111115</v>
      </c>
      <c r="R25" s="23">
        <f t="shared" si="1"/>
        <v>11321631.175111115</v>
      </c>
    </row>
    <row r="26" spans="1:18" x14ac:dyDescent="0.25">
      <c r="A26" s="9">
        <v>7</v>
      </c>
      <c r="B26" s="10" t="s">
        <v>8</v>
      </c>
      <c r="C26" s="23"/>
      <c r="D26" s="23">
        <v>1</v>
      </c>
      <c r="E26" s="23"/>
      <c r="F26" s="23"/>
      <c r="G26" s="23"/>
      <c r="H26" s="8">
        <v>1.04</v>
      </c>
      <c r="I26" s="8">
        <v>1.04</v>
      </c>
      <c r="J26" s="8"/>
      <c r="K26" s="8"/>
      <c r="L26" s="8"/>
      <c r="M26" s="8"/>
      <c r="N26" s="8">
        <f>F13*H26*I26*D26</f>
        <v>15623788.613333335</v>
      </c>
      <c r="O26" s="8"/>
      <c r="P26" s="8"/>
      <c r="Q26" s="8"/>
      <c r="R26" s="23">
        <f t="shared" si="1"/>
        <v>15623788.613333335</v>
      </c>
    </row>
    <row r="27" spans="1:18" x14ac:dyDescent="0.25">
      <c r="A27" s="24"/>
      <c r="B27" s="25" t="s">
        <v>23</v>
      </c>
      <c r="C27" s="26"/>
      <c r="D27" s="26"/>
      <c r="E27" s="26"/>
      <c r="F27" s="26"/>
      <c r="G27" s="26"/>
      <c r="H27" s="27"/>
      <c r="I27" s="27"/>
      <c r="J27" s="27"/>
      <c r="K27" s="27"/>
      <c r="L27" s="27"/>
      <c r="M27" s="27">
        <f>SUM(M20:M26)</f>
        <v>4343675.555555556</v>
      </c>
      <c r="N27" s="27">
        <f t="shared" ref="N27:R27" si="2">SUM(N20:N26)</f>
        <v>15623788.613333335</v>
      </c>
      <c r="O27" s="27">
        <f t="shared" si="2"/>
        <v>5862947.3991111126</v>
      </c>
      <c r="P27" s="27">
        <f t="shared" si="2"/>
        <v>6097465.2950755581</v>
      </c>
      <c r="Q27" s="27">
        <f t="shared" si="2"/>
        <v>11321631.175111115</v>
      </c>
      <c r="R27" s="27">
        <f t="shared" si="2"/>
        <v>43249508.038186677</v>
      </c>
    </row>
    <row r="28" spans="1:18" x14ac:dyDescent="0.25">
      <c r="A28" s="24"/>
      <c r="B28" s="25" t="s">
        <v>24</v>
      </c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>
        <f>M27*1.02</f>
        <v>4430549.0666666673</v>
      </c>
      <c r="N28" s="26">
        <f t="shared" ref="N28:R28" si="3">N27*1.02</f>
        <v>15936264.385600002</v>
      </c>
      <c r="O28" s="26">
        <f t="shared" si="3"/>
        <v>5980206.3470933354</v>
      </c>
      <c r="P28" s="26">
        <f t="shared" si="3"/>
        <v>6219414.6009770697</v>
      </c>
      <c r="Q28" s="27">
        <f t="shared" si="3"/>
        <v>11548063.798613338</v>
      </c>
      <c r="R28" s="27">
        <f t="shared" si="3"/>
        <v>44114498.19895041</v>
      </c>
    </row>
    <row r="29" spans="1:18" x14ac:dyDescent="0.25"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</row>
    <row r="30" spans="1:18" x14ac:dyDescent="0.25"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>
        <v>4343675.5555555597</v>
      </c>
      <c r="N30" s="28">
        <v>15623788.6133333</v>
      </c>
      <c r="O30" s="28">
        <v>5862947.3991111098</v>
      </c>
      <c r="P30" s="28">
        <v>6097465.29507556</v>
      </c>
      <c r="Q30" s="3">
        <v>11321631.1751111</v>
      </c>
      <c r="R30" s="3">
        <v>43249508.038186677</v>
      </c>
    </row>
    <row r="31" spans="1:18" x14ac:dyDescent="0.25"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</row>
  </sheetData>
  <mergeCells count="10">
    <mergeCell ref="C18:G18"/>
    <mergeCell ref="R18:R19"/>
    <mergeCell ref="A3:F3"/>
    <mergeCell ref="A16:F16"/>
    <mergeCell ref="M18:Q18"/>
    <mergeCell ref="B5:B6"/>
    <mergeCell ref="A5:A6"/>
    <mergeCell ref="C5:E5"/>
    <mergeCell ref="F5:F6"/>
    <mergeCell ref="H18:L18"/>
  </mergeCells>
  <pageMargins left="0.31496062992125984" right="0.31496062992125984" top="0.74803149606299213" bottom="0.74803149606299213" header="0.31496062992125984" footer="0.31496062992125984"/>
  <pageSetup paperSize="9"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pto1</dc:creator>
  <cp:lastModifiedBy>pto1</cp:lastModifiedBy>
  <cp:lastPrinted>2022-02-24T08:40:23Z</cp:lastPrinted>
  <dcterms:created xsi:type="dcterms:W3CDTF">2022-02-22T02:24:35Z</dcterms:created>
  <dcterms:modified xsi:type="dcterms:W3CDTF">2022-02-24T09:42:16Z</dcterms:modified>
</cp:coreProperties>
</file>