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870" windowWidth="22995" windowHeight="13035" tabRatio="792" activeTab="7"/>
  </bookViews>
  <sheets>
    <sheet name="Лист1" sheetId="1" r:id="rId1"/>
    <sheet name="Итог кол ПУ" sheetId="2" r:id="rId2"/>
    <sheet name="Средняя цена по комм предл" sheetId="3" r:id="rId3"/>
    <sheet name="Цены по годам с коэф." sheetId="4" r:id="rId4"/>
    <sheet name="Стоимость затрат план замена" sheetId="5" r:id="rId5"/>
    <sheet name="Резерв ПУ" sheetId="6" r:id="rId6"/>
    <sheet name="Стоимость резерва" sheetId="7" r:id="rId7"/>
    <sheet name="Стоимость замены (МПИ и резерв)" sheetId="8" r:id="rId8"/>
  </sheets>
  <calcPr calcId="145621"/>
</workbook>
</file>

<file path=xl/calcChain.xml><?xml version="1.0" encoding="utf-8"?>
<calcChain xmlns="http://schemas.openxmlformats.org/spreadsheetml/2006/main">
  <c r="R21" i="6" l="1"/>
  <c r="R22" i="6"/>
  <c r="R23" i="6"/>
  <c r="R24" i="6"/>
  <c r="R20" i="6"/>
  <c r="Q21" i="6"/>
  <c r="Q22" i="6"/>
  <c r="Q23" i="6"/>
  <c r="Q24" i="6"/>
  <c r="Q20" i="6"/>
  <c r="P21" i="6"/>
  <c r="P22" i="6"/>
  <c r="S22" i="6" s="1"/>
  <c r="P23" i="6"/>
  <c r="P24" i="6"/>
  <c r="P20" i="6"/>
  <c r="O21" i="6"/>
  <c r="O22" i="6"/>
  <c r="O23" i="6"/>
  <c r="O24" i="6"/>
  <c r="O20" i="6"/>
  <c r="O25" i="6" s="1"/>
  <c r="N21" i="6"/>
  <c r="N22" i="6"/>
  <c r="N23" i="6"/>
  <c r="N24" i="6"/>
  <c r="N20" i="6"/>
  <c r="P25" i="6" l="1"/>
  <c r="Q25" i="6"/>
  <c r="N25" i="6"/>
  <c r="R25" i="6"/>
  <c r="S23" i="6"/>
  <c r="S24" i="6"/>
  <c r="S21" i="6"/>
  <c r="S20" i="6"/>
  <c r="D6" i="7"/>
  <c r="D6" i="8" s="1"/>
  <c r="D8" i="7"/>
  <c r="D8" i="8" s="1"/>
  <c r="D7" i="7"/>
  <c r="D7" i="8" s="1"/>
  <c r="D5" i="7"/>
  <c r="D5" i="8" s="1"/>
  <c r="D4" i="7"/>
  <c r="D4" i="8" s="1"/>
  <c r="D9" i="8" l="1"/>
  <c r="D10" i="8" s="1"/>
  <c r="S25" i="6"/>
  <c r="D9" i="7"/>
  <c r="I7" i="6"/>
  <c r="D9" i="6"/>
  <c r="F9" i="6"/>
  <c r="H8" i="5"/>
  <c r="F6" i="5"/>
  <c r="E8" i="5"/>
  <c r="E4" i="5"/>
  <c r="D6" i="5"/>
  <c r="D7" i="5"/>
  <c r="D8" i="5"/>
  <c r="D5" i="5"/>
  <c r="D4" i="5"/>
  <c r="C33" i="4"/>
  <c r="C32" i="4"/>
  <c r="C31" i="4"/>
  <c r="H6" i="5" s="1"/>
  <c r="C30" i="4"/>
  <c r="H5" i="7" s="1"/>
  <c r="H5" i="8" s="1"/>
  <c r="C29" i="4"/>
  <c r="C27" i="4"/>
  <c r="C26" i="4"/>
  <c r="G7" i="5" s="1"/>
  <c r="C25" i="4"/>
  <c r="G6" i="5" s="1"/>
  <c r="C24" i="4"/>
  <c r="C23" i="4"/>
  <c r="G4" i="5" s="1"/>
  <c r="C21" i="4"/>
  <c r="F8" i="5" s="1"/>
  <c r="C20" i="4"/>
  <c r="C19" i="4"/>
  <c r="C18" i="4"/>
  <c r="C17" i="4"/>
  <c r="F4" i="5" s="1"/>
  <c r="C15" i="4"/>
  <c r="C14" i="4"/>
  <c r="C13" i="4"/>
  <c r="C12" i="4"/>
  <c r="E5" i="5" s="1"/>
  <c r="C11" i="4"/>
  <c r="E4" i="7" s="1"/>
  <c r="E4" i="8" s="1"/>
  <c r="D11" i="4"/>
  <c r="D9" i="4"/>
  <c r="D5" i="4"/>
  <c r="D8" i="4"/>
  <c r="D7" i="4"/>
  <c r="D6" i="4"/>
  <c r="G5" i="3"/>
  <c r="G6" i="3"/>
  <c r="G7" i="3"/>
  <c r="G8" i="3"/>
  <c r="G4" i="3"/>
  <c r="F5" i="3"/>
  <c r="F6" i="3"/>
  <c r="F7" i="3"/>
  <c r="F8" i="3"/>
  <c r="F4" i="3"/>
  <c r="D30" i="4" l="1"/>
  <c r="D18" i="4"/>
  <c r="F5" i="7"/>
  <c r="F5" i="8" s="1"/>
  <c r="D27" i="4"/>
  <c r="G8" i="7"/>
  <c r="G8" i="8" s="1"/>
  <c r="D14" i="4"/>
  <c r="E7" i="7"/>
  <c r="D19" i="4"/>
  <c r="F6" i="7"/>
  <c r="F6" i="8" s="1"/>
  <c r="D24" i="4"/>
  <c r="G5" i="7"/>
  <c r="G5" i="8" s="1"/>
  <c r="D32" i="4"/>
  <c r="H7" i="7"/>
  <c r="H7" i="8" s="1"/>
  <c r="F5" i="5"/>
  <c r="H7" i="5"/>
  <c r="D15" i="4"/>
  <c r="E8" i="7"/>
  <c r="D20" i="4"/>
  <c r="F7" i="7"/>
  <c r="F7" i="8" s="1"/>
  <c r="D25" i="4"/>
  <c r="G6" i="7"/>
  <c r="G6" i="8" s="1"/>
  <c r="D29" i="4"/>
  <c r="H4" i="7"/>
  <c r="D33" i="4"/>
  <c r="H8" i="7"/>
  <c r="H8" i="8" s="1"/>
  <c r="E7" i="5"/>
  <c r="I7" i="5" s="1"/>
  <c r="G5" i="5"/>
  <c r="G9" i="5" s="1"/>
  <c r="D13" i="4"/>
  <c r="E6" i="7"/>
  <c r="E6" i="8" s="1"/>
  <c r="D23" i="4"/>
  <c r="G4" i="7"/>
  <c r="D31" i="4"/>
  <c r="H6" i="7"/>
  <c r="H6" i="8" s="1"/>
  <c r="D12" i="4"/>
  <c r="E5" i="7"/>
  <c r="D17" i="4"/>
  <c r="F4" i="7"/>
  <c r="F4" i="8" s="1"/>
  <c r="D21" i="4"/>
  <c r="F8" i="7"/>
  <c r="F8" i="8" s="1"/>
  <c r="D26" i="4"/>
  <c r="G7" i="7"/>
  <c r="G7" i="8" s="1"/>
  <c r="E6" i="5"/>
  <c r="I6" i="5" s="1"/>
  <c r="F7" i="5"/>
  <c r="G8" i="5"/>
  <c r="I8" i="5" s="1"/>
  <c r="H4" i="5"/>
  <c r="H5" i="5"/>
  <c r="F9" i="5"/>
  <c r="I6" i="6"/>
  <c r="G9" i="6"/>
  <c r="H9" i="6"/>
  <c r="I8" i="6"/>
  <c r="E9" i="6"/>
  <c r="I5" i="6"/>
  <c r="I4" i="6"/>
  <c r="D9" i="5"/>
  <c r="H5" i="2"/>
  <c r="H6" i="2"/>
  <c r="H9" i="2" s="1"/>
  <c r="H7" i="2"/>
  <c r="H8" i="2"/>
  <c r="H4" i="2"/>
  <c r="G9" i="2"/>
  <c r="F9" i="2"/>
  <c r="E9" i="2"/>
  <c r="D9" i="2"/>
  <c r="C9" i="2"/>
  <c r="I6" i="7" l="1"/>
  <c r="E9" i="7"/>
  <c r="I4" i="7"/>
  <c r="I5" i="5"/>
  <c r="H9" i="5"/>
  <c r="I8" i="7"/>
  <c r="E9" i="5"/>
  <c r="I5" i="7"/>
  <c r="I4" i="5"/>
  <c r="E5" i="8"/>
  <c r="I5" i="8" s="1"/>
  <c r="E8" i="8"/>
  <c r="I6" i="8"/>
  <c r="H4" i="8"/>
  <c r="H9" i="8" s="1"/>
  <c r="H10" i="8" s="1"/>
  <c r="H9" i="7"/>
  <c r="I8" i="8"/>
  <c r="F9" i="7"/>
  <c r="G4" i="8"/>
  <c r="G9" i="8" s="1"/>
  <c r="G10" i="8" s="1"/>
  <c r="G9" i="7"/>
  <c r="E7" i="8"/>
  <c r="I7" i="8" s="1"/>
  <c r="I7" i="7"/>
  <c r="F9" i="8"/>
  <c r="F10" i="8" s="1"/>
  <c r="I9" i="6"/>
  <c r="I9" i="5"/>
  <c r="C7" i="1"/>
  <c r="C6" i="1"/>
  <c r="C5" i="1"/>
  <c r="C4" i="1"/>
  <c r="C3" i="1"/>
  <c r="B3" i="1"/>
  <c r="E9" i="8" l="1"/>
  <c r="E10" i="8" s="1"/>
  <c r="I10" i="8" s="1"/>
  <c r="I9" i="7"/>
  <c r="I4" i="8"/>
  <c r="I9" i="8" s="1"/>
  <c r="P4" i="1"/>
  <c r="M4" i="1"/>
  <c r="M6" i="1"/>
  <c r="M7" i="1"/>
  <c r="J4" i="1"/>
  <c r="J7" i="1"/>
  <c r="G4" i="1"/>
  <c r="G7" i="1"/>
  <c r="D4" i="1"/>
  <c r="D5" i="1"/>
  <c r="D6" i="1"/>
  <c r="D7" i="1"/>
  <c r="D3" i="1"/>
  <c r="F4" i="1"/>
  <c r="I4" i="1" s="1"/>
  <c r="L4" i="1" s="1"/>
  <c r="O4" i="1" s="1"/>
  <c r="F5" i="1"/>
  <c r="I5" i="1" s="1"/>
  <c r="L5" i="1" s="1"/>
  <c r="O5" i="1" s="1"/>
  <c r="P5" i="1" s="1"/>
  <c r="F6" i="1"/>
  <c r="I6" i="1" s="1"/>
  <c r="L6" i="1" s="1"/>
  <c r="O6" i="1" s="1"/>
  <c r="P6" i="1" s="1"/>
  <c r="F7" i="1"/>
  <c r="I7" i="1" s="1"/>
  <c r="L7" i="1" s="1"/>
  <c r="O7" i="1" s="1"/>
  <c r="P7" i="1" s="1"/>
  <c r="F3" i="1"/>
  <c r="I3" i="1" s="1"/>
  <c r="L3" i="1" s="1"/>
  <c r="O3" i="1" s="1"/>
  <c r="P3" i="1" s="1"/>
  <c r="N3" i="1"/>
  <c r="K3" i="1"/>
  <c r="H3" i="1"/>
  <c r="E3" i="1"/>
  <c r="D9" i="1" l="1"/>
  <c r="J6" i="1"/>
  <c r="G6" i="1"/>
  <c r="G5" i="1"/>
  <c r="J5" i="1"/>
  <c r="M5" i="1"/>
  <c r="P9" i="1"/>
  <c r="G3" i="1"/>
  <c r="M3" i="1"/>
  <c r="M9" i="1" s="1"/>
  <c r="J3" i="1"/>
  <c r="G9" i="1" l="1"/>
  <c r="J9" i="1"/>
  <c r="P10" i="1" s="1"/>
</calcChain>
</file>

<file path=xl/sharedStrings.xml><?xml version="1.0" encoding="utf-8"?>
<sst xmlns="http://schemas.openxmlformats.org/spreadsheetml/2006/main" count="150" uniqueCount="57">
  <si>
    <t>Количество ПУ</t>
  </si>
  <si>
    <t>Тип ПУ</t>
  </si>
  <si>
    <t>Фобос-3 (ТТ)</t>
  </si>
  <si>
    <t>Фобос-3</t>
  </si>
  <si>
    <t>Фобос-1 Лайт</t>
  </si>
  <si>
    <t>Фобос -3 Сплит</t>
  </si>
  <si>
    <t>Фобос-1 Сплит</t>
  </si>
  <si>
    <t>Цена ПУ</t>
  </si>
  <si>
    <t>Итого за год</t>
  </si>
  <si>
    <t>Итого за 5 лет</t>
  </si>
  <si>
    <t>ТТ</t>
  </si>
  <si>
    <t>Затраты</t>
  </si>
  <si>
    <t>№ п/п</t>
  </si>
  <si>
    <t>Наименование</t>
  </si>
  <si>
    <t>2023 год</t>
  </si>
  <si>
    <t xml:space="preserve">2024 год </t>
  </si>
  <si>
    <t>2025 год</t>
  </si>
  <si>
    <t>2026 год</t>
  </si>
  <si>
    <t>2027 год</t>
  </si>
  <si>
    <t>Итого</t>
  </si>
  <si>
    <t>Количество точек учета: Трехфазные ПУ полукосвеного включения (через трансформаторы тока)</t>
  </si>
  <si>
    <t xml:space="preserve">Количество точек учета: Трехфазные ПУ прямого включения </t>
  </si>
  <si>
    <t xml:space="preserve">Количество точек учета: Однофазные ПУ </t>
  </si>
  <si>
    <t>Количество точек учета: Трехфазные ПУ прямого включения "Сплит" исполнения</t>
  </si>
  <si>
    <t>Количество точек учета: Однофазные ПУ "Сплит" исполнения</t>
  </si>
  <si>
    <t>Итого по точкам учета (шт.)</t>
  </si>
  <si>
    <t>Средняя цена за ед. в 2023г. руб. с НДС</t>
  </si>
  <si>
    <t>Средняя цена за ед. в 2023г. руб. без НДС</t>
  </si>
  <si>
    <t>ООО "ПРОК"            руб. без НДС</t>
  </si>
  <si>
    <t>ООО "САС"                руб. без НДС</t>
  </si>
  <si>
    <t>ООО "МБК-Энерго"            руб. без НДС</t>
  </si>
  <si>
    <t>Тип приборов учета</t>
  </si>
  <si>
    <t>Цена за ед.                         руб. без НДС</t>
  </si>
  <si>
    <t>Цена за ед.             руб. с НДС</t>
  </si>
  <si>
    <t>Цены с учетом прогноза индексов цен производителей и индекс-дефляторов по видам экономической деятельности на 2024г. (4.7%)</t>
  </si>
  <si>
    <t>Цены с учетом прогноза индексов цен производителей и индекс-дефляторов по видам экономической деятельности на 2025г. (4.7%)</t>
  </si>
  <si>
    <t>Цены с учетом прогноза индексов цен производителей и индекс-дефляторов по видам экономической деятельности на 2026г. (4.7%)</t>
  </si>
  <si>
    <t>Стоимость годовых затрат по замене ПУ с учетом резерва, руб. без НДС</t>
  </si>
  <si>
    <t>Итого по точкам учета (руб)</t>
  </si>
  <si>
    <t>Итого по точкам учета (руб.) с НДС</t>
  </si>
  <si>
    <t>Расчет по проценту</t>
  </si>
  <si>
    <t>Трехфазные ПУ полукосвеного включения (через трансформаторы тока)</t>
  </si>
  <si>
    <t xml:space="preserve">Трехфазные ПУ прямого включения </t>
  </si>
  <si>
    <t xml:space="preserve">Однофазные ПУ </t>
  </si>
  <si>
    <t>Трехфазные ПУ прямого включения "Сплит" исполнения</t>
  </si>
  <si>
    <t>Однофазные ПУ "Сплит" исполнения</t>
  </si>
  <si>
    <t xml:space="preserve"> Трехфазные ПУ прямого включения "Сплит" исполнения</t>
  </si>
  <si>
    <t xml:space="preserve"> Трехфазные ПУ прямого включения </t>
  </si>
  <si>
    <t xml:space="preserve"> Однофазные ПУ "Сплит" исполнения</t>
  </si>
  <si>
    <t xml:space="preserve"> Однофазные ПУ </t>
  </si>
  <si>
    <t xml:space="preserve"> Трехфазные ПУ полукосвеного включения (через трансформаторы тока)</t>
  </si>
  <si>
    <t xml:space="preserve">Расчет средней цены на основании коммерческих предложений </t>
  </si>
  <si>
    <t xml:space="preserve">Цены на 2023г. </t>
  </si>
  <si>
    <t>Количество приборов учета, подлежащих замене в соответствии с графиками</t>
  </si>
  <si>
    <t>Стоимость затрат по замене ПУ (в соотвествии с графиками), руб. без НДС</t>
  </si>
  <si>
    <t>Количество вышедших из строя и бракованных приборов учета (5%)</t>
  </si>
  <si>
    <t>Стоимость  затрат на резервные ПУ,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</si>
</sst>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0" borderId="2" xfId="0" applyFill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P10" sqref="P10"/>
    </sheetView>
  </sheetViews>
  <sheetFormatPr defaultRowHeight="15" x14ac:dyDescent="0.25"/>
  <cols>
    <col min="1" max="1" width="15" customWidth="1"/>
    <col min="2" max="2" width="8.5703125" customWidth="1"/>
    <col min="3" max="4" width="12.85546875" customWidth="1"/>
    <col min="5" max="5" width="9" customWidth="1"/>
    <col min="6" max="7" width="12" customWidth="1"/>
    <col min="8" max="8" width="8.85546875" customWidth="1"/>
    <col min="9" max="9" width="13" customWidth="1"/>
    <col min="10" max="10" width="10.42578125" customWidth="1"/>
    <col min="11" max="11" width="9" customWidth="1"/>
    <col min="12" max="12" width="13.28515625" customWidth="1"/>
    <col min="13" max="13" width="10.7109375" customWidth="1"/>
    <col min="14" max="14" width="8" customWidth="1"/>
    <col min="15" max="15" width="15.28515625" customWidth="1"/>
    <col min="16" max="16" width="12.7109375" customWidth="1"/>
  </cols>
  <sheetData>
    <row r="1" spans="1:16" x14ac:dyDescent="0.25">
      <c r="A1" s="1"/>
      <c r="B1" s="16">
        <v>2023</v>
      </c>
      <c r="C1" s="17"/>
      <c r="D1" s="18"/>
      <c r="E1" s="16">
        <v>2024</v>
      </c>
      <c r="F1" s="17"/>
      <c r="G1" s="18"/>
      <c r="H1" s="16">
        <v>2025</v>
      </c>
      <c r="I1" s="17"/>
      <c r="J1" s="18"/>
      <c r="K1" s="16">
        <v>2026</v>
      </c>
      <c r="L1" s="17"/>
      <c r="M1" s="18"/>
      <c r="N1" s="19">
        <v>2027</v>
      </c>
      <c r="O1" s="19"/>
      <c r="P1" s="19"/>
    </row>
    <row r="2" spans="1:16" ht="27" customHeight="1" x14ac:dyDescent="0.25">
      <c r="A2" s="7" t="s">
        <v>1</v>
      </c>
      <c r="B2" s="7" t="s">
        <v>0</v>
      </c>
      <c r="C2" s="7" t="s">
        <v>7</v>
      </c>
      <c r="D2" s="7" t="s">
        <v>11</v>
      </c>
      <c r="E2" s="7" t="s">
        <v>0</v>
      </c>
      <c r="F2" s="7" t="s">
        <v>7</v>
      </c>
      <c r="G2" s="7" t="s">
        <v>11</v>
      </c>
      <c r="H2" s="7" t="s">
        <v>0</v>
      </c>
      <c r="I2" s="7" t="s">
        <v>7</v>
      </c>
      <c r="J2" s="7" t="s">
        <v>11</v>
      </c>
      <c r="K2" s="7" t="s">
        <v>0</v>
      </c>
      <c r="L2" s="7" t="s">
        <v>7</v>
      </c>
      <c r="M2" s="7" t="s">
        <v>11</v>
      </c>
      <c r="N2" s="7" t="s">
        <v>0</v>
      </c>
      <c r="O2" s="7" t="s">
        <v>7</v>
      </c>
      <c r="P2" s="7" t="s">
        <v>11</v>
      </c>
    </row>
    <row r="3" spans="1:16" x14ac:dyDescent="0.25">
      <c r="A3" s="1" t="s">
        <v>2</v>
      </c>
      <c r="B3" s="1">
        <f>36+B8</f>
        <v>151</v>
      </c>
      <c r="C3" s="1">
        <f>26539*1.04</f>
        <v>27600.560000000001</v>
      </c>
      <c r="D3" s="1">
        <f>B3*C3</f>
        <v>4167684.56</v>
      </c>
      <c r="E3" s="1">
        <f>48+E8</f>
        <v>101</v>
      </c>
      <c r="F3" s="1">
        <f>C3*1.04</f>
        <v>28704.582400000003</v>
      </c>
      <c r="G3" s="1">
        <f>E3*F3</f>
        <v>2899162.8224000004</v>
      </c>
      <c r="H3" s="1">
        <f>38+H8</f>
        <v>60</v>
      </c>
      <c r="I3" s="5">
        <f>F3*1.04</f>
        <v>29852.765696000006</v>
      </c>
      <c r="J3" s="1">
        <f>H3*I3</f>
        <v>1791165.9417600003</v>
      </c>
      <c r="K3" s="1">
        <f>39+K8</f>
        <v>79</v>
      </c>
      <c r="L3" s="5">
        <f>I3*1.04</f>
        <v>31046.876323840006</v>
      </c>
      <c r="M3" s="5">
        <f>K3*L3</f>
        <v>2452703.2295833603</v>
      </c>
      <c r="N3" s="1">
        <f>58+N8</f>
        <v>84</v>
      </c>
      <c r="O3" s="5">
        <f>L3*1.04</f>
        <v>32288.751376793607</v>
      </c>
      <c r="P3" s="5">
        <f>N3*O3</f>
        <v>2712255.1156506632</v>
      </c>
    </row>
    <row r="4" spans="1:16" x14ac:dyDescent="0.25">
      <c r="A4" s="1" t="s">
        <v>3</v>
      </c>
      <c r="B4" s="1">
        <v>55</v>
      </c>
      <c r="C4" s="1">
        <f>17288*1.04</f>
        <v>17979.52</v>
      </c>
      <c r="D4" s="1">
        <f t="shared" ref="D4:D7" si="0">B4*C4</f>
        <v>988873.6</v>
      </c>
      <c r="E4" s="1">
        <v>44</v>
      </c>
      <c r="F4" s="1">
        <f t="shared" ref="F4:F7" si="1">C4*1.04</f>
        <v>18698.700800000002</v>
      </c>
      <c r="G4" s="1">
        <f t="shared" ref="G4:G7" si="2">E4*F4</f>
        <v>822742.83520000009</v>
      </c>
      <c r="H4" s="1">
        <v>138</v>
      </c>
      <c r="I4" s="5">
        <f t="shared" ref="I4:I7" si="3">F4*1.04</f>
        <v>19446.648832000003</v>
      </c>
      <c r="J4" s="1">
        <f t="shared" ref="J4:J7" si="4">H4*I4</f>
        <v>2683637.5388160003</v>
      </c>
      <c r="K4" s="1">
        <v>60</v>
      </c>
      <c r="L4" s="5">
        <f t="shared" ref="L4:L7" si="5">I4*1.04</f>
        <v>20224.514785280004</v>
      </c>
      <c r="M4" s="5">
        <f t="shared" ref="M4:M7" si="6">K4*L4</f>
        <v>1213470.8871168003</v>
      </c>
      <c r="N4" s="1">
        <v>51</v>
      </c>
      <c r="O4" s="5">
        <f t="shared" ref="O4:O7" si="7">L4*1.04</f>
        <v>21033.495376691204</v>
      </c>
      <c r="P4" s="5">
        <f t="shared" ref="P4:P7" si="8">N4*O4</f>
        <v>1072708.2642112514</v>
      </c>
    </row>
    <row r="5" spans="1:16" x14ac:dyDescent="0.25">
      <c r="A5" s="1" t="s">
        <v>4</v>
      </c>
      <c r="B5" s="1">
        <v>11</v>
      </c>
      <c r="C5" s="1">
        <f>12053*1.04</f>
        <v>12535.12</v>
      </c>
      <c r="D5" s="1">
        <f t="shared" si="0"/>
        <v>137886.32</v>
      </c>
      <c r="E5" s="1">
        <v>7</v>
      </c>
      <c r="F5" s="1">
        <f t="shared" si="1"/>
        <v>13036.524800000001</v>
      </c>
      <c r="G5" s="1">
        <f t="shared" si="2"/>
        <v>91255.673600000009</v>
      </c>
      <c r="H5" s="1">
        <v>10</v>
      </c>
      <c r="I5" s="5">
        <f t="shared" si="3"/>
        <v>13557.985792000001</v>
      </c>
      <c r="J5" s="1">
        <f t="shared" si="4"/>
        <v>135579.85792000001</v>
      </c>
      <c r="K5" s="1">
        <v>10</v>
      </c>
      <c r="L5" s="5">
        <f t="shared" si="5"/>
        <v>14100.305223680001</v>
      </c>
      <c r="M5" s="5">
        <f t="shared" si="6"/>
        <v>141003.05223680002</v>
      </c>
      <c r="N5" s="1">
        <v>6</v>
      </c>
      <c r="O5" s="5">
        <f t="shared" si="7"/>
        <v>14664.317432627202</v>
      </c>
      <c r="P5" s="5">
        <f t="shared" si="8"/>
        <v>87985.904595763219</v>
      </c>
    </row>
    <row r="6" spans="1:16" x14ac:dyDescent="0.25">
      <c r="A6" s="1" t="s">
        <v>5</v>
      </c>
      <c r="B6" s="1">
        <v>15</v>
      </c>
      <c r="C6" s="1">
        <f>17062*1.04</f>
        <v>17744.48</v>
      </c>
      <c r="D6" s="1">
        <f t="shared" si="0"/>
        <v>266167.2</v>
      </c>
      <c r="E6" s="1">
        <v>14</v>
      </c>
      <c r="F6" s="1">
        <f t="shared" si="1"/>
        <v>18454.2592</v>
      </c>
      <c r="G6" s="1">
        <f t="shared" si="2"/>
        <v>258359.62880000001</v>
      </c>
      <c r="H6" s="1">
        <v>16</v>
      </c>
      <c r="I6" s="5">
        <f t="shared" si="3"/>
        <v>19192.429568</v>
      </c>
      <c r="J6" s="1">
        <f t="shared" si="4"/>
        <v>307078.87308799999</v>
      </c>
      <c r="K6" s="1">
        <v>9</v>
      </c>
      <c r="L6" s="5">
        <f t="shared" si="5"/>
        <v>19960.126750719999</v>
      </c>
      <c r="M6" s="5">
        <f t="shared" si="6"/>
        <v>179641.14075647999</v>
      </c>
      <c r="N6" s="1">
        <v>9</v>
      </c>
      <c r="O6" s="5">
        <f t="shared" si="7"/>
        <v>20758.531820748798</v>
      </c>
      <c r="P6" s="5">
        <f t="shared" si="8"/>
        <v>186826.78638673917</v>
      </c>
    </row>
    <row r="7" spans="1:16" x14ac:dyDescent="0.25">
      <c r="A7" s="1" t="s">
        <v>6</v>
      </c>
      <c r="B7" s="1">
        <v>20</v>
      </c>
      <c r="C7" s="1">
        <f>9762*1.04</f>
        <v>10152.48</v>
      </c>
      <c r="D7" s="1">
        <f t="shared" si="0"/>
        <v>203049.59999999998</v>
      </c>
      <c r="E7" s="1">
        <v>22</v>
      </c>
      <c r="F7" s="1">
        <f t="shared" si="1"/>
        <v>10558.5792</v>
      </c>
      <c r="G7" s="1">
        <f t="shared" si="2"/>
        <v>232288.74239999999</v>
      </c>
      <c r="H7" s="1">
        <v>29</v>
      </c>
      <c r="I7" s="5">
        <f t="shared" si="3"/>
        <v>10980.922368000001</v>
      </c>
      <c r="J7" s="1">
        <f t="shared" si="4"/>
        <v>318446.74867200002</v>
      </c>
      <c r="K7" s="1">
        <v>30</v>
      </c>
      <c r="L7" s="5">
        <f t="shared" si="5"/>
        <v>11420.159262720003</v>
      </c>
      <c r="M7" s="5">
        <f t="shared" si="6"/>
        <v>342604.77788160008</v>
      </c>
      <c r="N7" s="1">
        <v>19</v>
      </c>
      <c r="O7" s="5">
        <f t="shared" si="7"/>
        <v>11876.965633228803</v>
      </c>
      <c r="P7" s="5">
        <f t="shared" si="8"/>
        <v>225662.34703134725</v>
      </c>
    </row>
    <row r="8" spans="1:16" x14ac:dyDescent="0.25">
      <c r="A8" s="2" t="s">
        <v>10</v>
      </c>
      <c r="B8" s="2">
        <v>115</v>
      </c>
      <c r="C8" s="1"/>
      <c r="D8" s="1"/>
      <c r="E8" s="1">
        <v>53</v>
      </c>
      <c r="F8" s="1"/>
      <c r="G8" s="1"/>
      <c r="H8" s="1">
        <v>22</v>
      </c>
      <c r="I8" s="1"/>
      <c r="J8" s="1"/>
      <c r="K8" s="1">
        <v>40</v>
      </c>
      <c r="L8" s="1"/>
      <c r="M8" s="1"/>
      <c r="N8" s="1">
        <v>26</v>
      </c>
      <c r="O8" s="1"/>
      <c r="P8" s="1"/>
    </row>
    <row r="9" spans="1:16" x14ac:dyDescent="0.25">
      <c r="C9" t="s">
        <v>8</v>
      </c>
      <c r="D9" s="4">
        <f>SUM(D3:D8)</f>
        <v>5763661.2800000003</v>
      </c>
      <c r="F9" t="s">
        <v>8</v>
      </c>
      <c r="G9" s="4">
        <f>SUM(G3:G8)</f>
        <v>4303809.7024000008</v>
      </c>
      <c r="I9" t="s">
        <v>8</v>
      </c>
      <c r="J9" s="4">
        <f>SUM(J3:J8)</f>
        <v>5235908.9602560019</v>
      </c>
      <c r="L9" t="s">
        <v>8</v>
      </c>
      <c r="M9" s="4">
        <f>SUM(M3:M8)</f>
        <v>4329423.0875750408</v>
      </c>
      <c r="O9" t="s">
        <v>8</v>
      </c>
      <c r="P9" s="6">
        <f>SUM(P3:P8)</f>
        <v>4285438.417875764</v>
      </c>
    </row>
    <row r="10" spans="1:16" x14ac:dyDescent="0.25">
      <c r="O10" s="3" t="s">
        <v>9</v>
      </c>
      <c r="P10" s="6">
        <f>D9+G9+J9+M9+P9</f>
        <v>23918241.448106807</v>
      </c>
    </row>
  </sheetData>
  <mergeCells count="5">
    <mergeCell ref="B1:D1"/>
    <mergeCell ref="E1:G1"/>
    <mergeCell ref="H1:J1"/>
    <mergeCell ref="K1:M1"/>
    <mergeCell ref="N1:P1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workbookViewId="0">
      <selection activeCell="B29" sqref="B29"/>
    </sheetView>
  </sheetViews>
  <sheetFormatPr defaultRowHeight="15" x14ac:dyDescent="0.25"/>
  <cols>
    <col min="1" max="1" width="7" customWidth="1"/>
    <col min="2" max="2" width="40.7109375" customWidth="1"/>
    <col min="3" max="3" width="13.5703125" customWidth="1"/>
    <col min="4" max="4" width="12.7109375" customWidth="1"/>
    <col min="5" max="6" width="12" customWidth="1"/>
    <col min="7" max="7" width="12.7109375" customWidth="1"/>
    <col min="8" max="8" width="13.85546875" customWidth="1"/>
  </cols>
  <sheetData>
    <row r="1" spans="1:8" x14ac:dyDescent="0.25">
      <c r="B1" s="22" t="s">
        <v>53</v>
      </c>
      <c r="C1" s="22"/>
      <c r="D1" s="22"/>
      <c r="E1" s="22"/>
      <c r="F1" s="22"/>
      <c r="G1" s="22"/>
      <c r="H1" s="22"/>
    </row>
    <row r="3" spans="1:8" ht="35.25" customHeight="1" x14ac:dyDescent="0.25">
      <c r="A3" s="8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</row>
    <row r="4" spans="1:8" ht="49.5" customHeight="1" x14ac:dyDescent="0.25">
      <c r="A4" s="9">
        <v>1</v>
      </c>
      <c r="B4" s="10" t="s">
        <v>20</v>
      </c>
      <c r="C4" s="9">
        <v>148</v>
      </c>
      <c r="D4" s="9">
        <v>93</v>
      </c>
      <c r="E4" s="9">
        <v>60</v>
      </c>
      <c r="F4" s="9">
        <v>80</v>
      </c>
      <c r="G4" s="9">
        <v>83</v>
      </c>
      <c r="H4" s="9">
        <f>SUM(C4:G4)</f>
        <v>464</v>
      </c>
    </row>
    <row r="5" spans="1:8" ht="39.75" customHeight="1" x14ac:dyDescent="0.25">
      <c r="A5" s="9">
        <v>2</v>
      </c>
      <c r="B5" s="10" t="s">
        <v>21</v>
      </c>
      <c r="C5" s="9">
        <v>55</v>
      </c>
      <c r="D5" s="9">
        <v>42</v>
      </c>
      <c r="E5" s="9">
        <v>137</v>
      </c>
      <c r="F5" s="9">
        <v>60</v>
      </c>
      <c r="G5" s="9">
        <v>51</v>
      </c>
      <c r="H5" s="9">
        <f t="shared" ref="H5:H8" si="0">SUM(C5:G5)</f>
        <v>345</v>
      </c>
    </row>
    <row r="6" spans="1:8" ht="39.75" customHeight="1" x14ac:dyDescent="0.25">
      <c r="A6" s="9">
        <v>3</v>
      </c>
      <c r="B6" s="10" t="s">
        <v>22</v>
      </c>
      <c r="C6" s="9">
        <v>12</v>
      </c>
      <c r="D6" s="9">
        <v>8</v>
      </c>
      <c r="E6" s="9">
        <v>8</v>
      </c>
      <c r="F6" s="9">
        <v>10</v>
      </c>
      <c r="G6" s="9">
        <v>6</v>
      </c>
      <c r="H6" s="9">
        <f t="shared" si="0"/>
        <v>44</v>
      </c>
    </row>
    <row r="7" spans="1:8" ht="40.5" customHeight="1" x14ac:dyDescent="0.25">
      <c r="A7" s="9">
        <v>4</v>
      </c>
      <c r="B7" s="10" t="s">
        <v>23</v>
      </c>
      <c r="C7" s="9">
        <v>12</v>
      </c>
      <c r="D7" s="9">
        <v>14</v>
      </c>
      <c r="E7" s="9">
        <v>10</v>
      </c>
      <c r="F7" s="9">
        <v>7</v>
      </c>
      <c r="G7" s="9">
        <v>7</v>
      </c>
      <c r="H7" s="9">
        <f t="shared" si="0"/>
        <v>50</v>
      </c>
    </row>
    <row r="8" spans="1:8" ht="40.5" customHeight="1" x14ac:dyDescent="0.25">
      <c r="A8" s="9">
        <v>5</v>
      </c>
      <c r="B8" s="10" t="s">
        <v>24</v>
      </c>
      <c r="C8" s="9">
        <v>15</v>
      </c>
      <c r="D8" s="9">
        <v>20</v>
      </c>
      <c r="E8" s="9">
        <v>24</v>
      </c>
      <c r="F8" s="9">
        <v>19</v>
      </c>
      <c r="G8" s="9">
        <v>17</v>
      </c>
      <c r="H8" s="9">
        <f t="shared" si="0"/>
        <v>95</v>
      </c>
    </row>
    <row r="9" spans="1:8" ht="29.25" customHeight="1" x14ac:dyDescent="0.25">
      <c r="A9" s="20" t="s">
        <v>25</v>
      </c>
      <c r="B9" s="21"/>
      <c r="C9" s="9">
        <f t="shared" ref="C9:H9" si="1">SUM(C4:C8)</f>
        <v>242</v>
      </c>
      <c r="D9" s="9">
        <f t="shared" si="1"/>
        <v>177</v>
      </c>
      <c r="E9" s="9">
        <f t="shared" si="1"/>
        <v>239</v>
      </c>
      <c r="F9" s="9">
        <f t="shared" si="1"/>
        <v>176</v>
      </c>
      <c r="G9" s="9">
        <f t="shared" si="1"/>
        <v>164</v>
      </c>
      <c r="H9" s="9">
        <f t="shared" si="1"/>
        <v>998</v>
      </c>
    </row>
  </sheetData>
  <mergeCells count="2">
    <mergeCell ref="A9:B9"/>
    <mergeCell ref="B1:H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D24" sqref="D24"/>
    </sheetView>
  </sheetViews>
  <sheetFormatPr defaultRowHeight="15" x14ac:dyDescent="0.25"/>
  <cols>
    <col min="1" max="1" width="7" customWidth="1"/>
    <col min="2" max="2" width="40.7109375" customWidth="1"/>
    <col min="3" max="3" width="19.85546875" customWidth="1"/>
    <col min="4" max="4" width="20.28515625" customWidth="1"/>
    <col min="5" max="5" width="24.5703125" customWidth="1"/>
    <col min="6" max="7" width="17.7109375" customWidth="1"/>
  </cols>
  <sheetData>
    <row r="1" spans="1:7" x14ac:dyDescent="0.25">
      <c r="B1" s="22" t="s">
        <v>51</v>
      </c>
      <c r="C1" s="22"/>
      <c r="D1" s="22"/>
      <c r="E1" s="22"/>
      <c r="F1" s="22"/>
      <c r="G1" s="22"/>
    </row>
    <row r="3" spans="1:7" ht="69.75" customHeight="1" x14ac:dyDescent="0.25">
      <c r="A3" s="8" t="s">
        <v>12</v>
      </c>
      <c r="B3" s="8" t="s">
        <v>31</v>
      </c>
      <c r="C3" s="11" t="s">
        <v>28</v>
      </c>
      <c r="D3" s="11" t="s">
        <v>29</v>
      </c>
      <c r="E3" s="11" t="s">
        <v>30</v>
      </c>
      <c r="F3" s="11" t="s">
        <v>27</v>
      </c>
      <c r="G3" s="11" t="s">
        <v>26</v>
      </c>
    </row>
    <row r="4" spans="1:7" ht="30" x14ac:dyDescent="0.25">
      <c r="A4" s="9">
        <v>1</v>
      </c>
      <c r="B4" s="10" t="s">
        <v>50</v>
      </c>
      <c r="C4" s="13">
        <v>25821.96</v>
      </c>
      <c r="D4" s="13">
        <v>26460.06</v>
      </c>
      <c r="E4" s="13">
        <v>27703.96</v>
      </c>
      <c r="F4" s="13">
        <f>SUM(C4:E4)/3</f>
        <v>26661.993333333336</v>
      </c>
      <c r="G4" s="13">
        <f>F4*1.2</f>
        <v>31994.392</v>
      </c>
    </row>
    <row r="5" spans="1:7" ht="40.5" customHeight="1" x14ac:dyDescent="0.25">
      <c r="A5" s="9">
        <v>2</v>
      </c>
      <c r="B5" s="10" t="s">
        <v>42</v>
      </c>
      <c r="C5" s="13">
        <v>16384.52</v>
      </c>
      <c r="D5" s="13">
        <v>17093.23</v>
      </c>
      <c r="E5" s="13">
        <v>17616.009999999998</v>
      </c>
      <c r="F5" s="13">
        <f t="shared" ref="F5:F8" si="0">SUM(C5:E5)/3</f>
        <v>17031.25333333333</v>
      </c>
      <c r="G5" s="13">
        <f t="shared" ref="G5:G8" si="1">F5*1.2</f>
        <v>20437.503999999997</v>
      </c>
    </row>
    <row r="6" spans="1:7" ht="39.75" customHeight="1" x14ac:dyDescent="0.25">
      <c r="A6" s="9">
        <v>3</v>
      </c>
      <c r="B6" s="10" t="s">
        <v>43</v>
      </c>
      <c r="C6" s="13">
        <v>8892.73</v>
      </c>
      <c r="D6" s="13">
        <v>9078.61</v>
      </c>
      <c r="E6" s="13">
        <v>9078.61</v>
      </c>
      <c r="F6" s="13">
        <f t="shared" si="0"/>
        <v>9016.65</v>
      </c>
      <c r="G6" s="13">
        <f t="shared" si="1"/>
        <v>10819.98</v>
      </c>
    </row>
    <row r="7" spans="1:7" ht="47.25" customHeight="1" x14ac:dyDescent="0.25">
      <c r="A7" s="9">
        <v>4</v>
      </c>
      <c r="B7" s="10" t="s">
        <v>46</v>
      </c>
      <c r="C7" s="13">
        <v>27823.439999999999</v>
      </c>
      <c r="D7" s="13">
        <v>28809.55</v>
      </c>
      <c r="E7" s="13">
        <v>28758.22</v>
      </c>
      <c r="F7" s="13">
        <f t="shared" si="0"/>
        <v>28463.736666666664</v>
      </c>
      <c r="G7" s="13">
        <f t="shared" si="1"/>
        <v>34156.483999999997</v>
      </c>
    </row>
    <row r="8" spans="1:7" ht="51.75" customHeight="1" x14ac:dyDescent="0.25">
      <c r="A8" s="9">
        <v>5</v>
      </c>
      <c r="B8" s="10" t="s">
        <v>48</v>
      </c>
      <c r="C8" s="13">
        <v>19820.91</v>
      </c>
      <c r="D8" s="13">
        <v>20806.96</v>
      </c>
      <c r="E8" s="13">
        <v>20980.79</v>
      </c>
      <c r="F8" s="13">
        <f t="shared" si="0"/>
        <v>20536.219999999998</v>
      </c>
      <c r="G8" s="13">
        <f t="shared" si="1"/>
        <v>24643.463999999996</v>
      </c>
    </row>
  </sheetData>
  <mergeCells count="1">
    <mergeCell ref="B1:G1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33"/>
  <sheetViews>
    <sheetView workbookViewId="0">
      <selection activeCell="A4" sqref="A4:D4"/>
    </sheetView>
  </sheetViews>
  <sheetFormatPr defaultRowHeight="15" x14ac:dyDescent="0.25"/>
  <cols>
    <col min="1" max="1" width="7" customWidth="1"/>
    <col min="2" max="2" width="44.5703125" customWidth="1"/>
    <col min="3" max="3" width="20.5703125" customWidth="1"/>
    <col min="4" max="4" width="18.5703125" customWidth="1"/>
  </cols>
  <sheetData>
    <row r="3" spans="1:4" ht="35.25" customHeight="1" x14ac:dyDescent="0.25">
      <c r="A3" s="19"/>
      <c r="B3" s="19"/>
      <c r="C3" s="11" t="s">
        <v>32</v>
      </c>
      <c r="D3" s="11" t="s">
        <v>33</v>
      </c>
    </row>
    <row r="4" spans="1:4" ht="24.75" customHeight="1" x14ac:dyDescent="0.25">
      <c r="A4" s="25" t="s">
        <v>52</v>
      </c>
      <c r="B4" s="25"/>
      <c r="C4" s="25"/>
      <c r="D4" s="26"/>
    </row>
    <row r="5" spans="1:4" ht="30" x14ac:dyDescent="0.25">
      <c r="A5" s="9">
        <v>1</v>
      </c>
      <c r="B5" s="10" t="s">
        <v>41</v>
      </c>
      <c r="C5" s="12">
        <v>26661.993333333336</v>
      </c>
      <c r="D5" s="12">
        <f>C5*1.2</f>
        <v>31994.392</v>
      </c>
    </row>
    <row r="6" spans="1:4" ht="36.75" customHeight="1" x14ac:dyDescent="0.25">
      <c r="A6" s="9">
        <v>2</v>
      </c>
      <c r="B6" s="10" t="s">
        <v>42</v>
      </c>
      <c r="C6" s="12">
        <v>17031.25333333333</v>
      </c>
      <c r="D6" s="12">
        <f t="shared" ref="D6:D9" si="0">C6*1.2</f>
        <v>20437.503999999997</v>
      </c>
    </row>
    <row r="7" spans="1:4" ht="42" customHeight="1" x14ac:dyDescent="0.25">
      <c r="A7" s="9">
        <v>3</v>
      </c>
      <c r="B7" s="10" t="s">
        <v>43</v>
      </c>
      <c r="C7" s="12">
        <v>9016.65</v>
      </c>
      <c r="D7" s="12">
        <f t="shared" si="0"/>
        <v>10819.98</v>
      </c>
    </row>
    <row r="8" spans="1:4" ht="35.25" customHeight="1" x14ac:dyDescent="0.25">
      <c r="A8" s="9">
        <v>4</v>
      </c>
      <c r="B8" s="10" t="s">
        <v>44</v>
      </c>
      <c r="C8" s="12">
        <v>28463.736666666664</v>
      </c>
      <c r="D8" s="12">
        <f t="shared" si="0"/>
        <v>34156.483999999997</v>
      </c>
    </row>
    <row r="9" spans="1:4" ht="40.5" customHeight="1" x14ac:dyDescent="0.25">
      <c r="A9" s="9">
        <v>5</v>
      </c>
      <c r="B9" s="10" t="s">
        <v>45</v>
      </c>
      <c r="C9" s="12">
        <v>20536.219999999998</v>
      </c>
      <c r="D9" s="12">
        <f t="shared" si="0"/>
        <v>24643.463999999996</v>
      </c>
    </row>
    <row r="10" spans="1:4" ht="52.5" customHeight="1" x14ac:dyDescent="0.25">
      <c r="A10" s="23" t="s">
        <v>34</v>
      </c>
      <c r="B10" s="23"/>
      <c r="C10" s="23"/>
      <c r="D10" s="24"/>
    </row>
    <row r="11" spans="1:4" ht="30" x14ac:dyDescent="0.25">
      <c r="A11" s="9">
        <v>1</v>
      </c>
      <c r="B11" s="10" t="s">
        <v>41</v>
      </c>
      <c r="C11" s="12">
        <f>26661.9933333333*1.047</f>
        <v>27915.107019999963</v>
      </c>
      <c r="D11" s="12">
        <f>C11*1.2</f>
        <v>33498.128423999951</v>
      </c>
    </row>
    <row r="12" spans="1:4" ht="43.5" customHeight="1" x14ac:dyDescent="0.25">
      <c r="A12" s="9">
        <v>2</v>
      </c>
      <c r="B12" s="10" t="s">
        <v>42</v>
      </c>
      <c r="C12" s="12">
        <f>17031.2533333333*1.047</f>
        <v>17831.722239999966</v>
      </c>
      <c r="D12" s="12">
        <f t="shared" ref="D12:D15" si="1">C12*1.2</f>
        <v>21398.066687999959</v>
      </c>
    </row>
    <row r="13" spans="1:4" ht="45" customHeight="1" x14ac:dyDescent="0.25">
      <c r="A13" s="9">
        <v>3</v>
      </c>
      <c r="B13" s="10" t="s">
        <v>43</v>
      </c>
      <c r="C13" s="12">
        <f>9016.65*1.047</f>
        <v>9440.4325499999995</v>
      </c>
      <c r="D13" s="12">
        <f t="shared" si="1"/>
        <v>11328.519059999999</v>
      </c>
    </row>
    <row r="14" spans="1:4" ht="35.25" customHeight="1" x14ac:dyDescent="0.25">
      <c r="A14" s="9">
        <v>4</v>
      </c>
      <c r="B14" s="10" t="s">
        <v>44</v>
      </c>
      <c r="C14" s="12">
        <f>28463.7366666667*1.047</f>
        <v>29801.532290000032</v>
      </c>
      <c r="D14" s="12">
        <f t="shared" si="1"/>
        <v>35761.838748000038</v>
      </c>
    </row>
    <row r="15" spans="1:4" ht="42" customHeight="1" x14ac:dyDescent="0.25">
      <c r="A15" s="9">
        <v>5</v>
      </c>
      <c r="B15" s="10" t="s">
        <v>45</v>
      </c>
      <c r="C15" s="12">
        <f>20536.22*1.047</f>
        <v>21501.422340000001</v>
      </c>
      <c r="D15" s="12">
        <f t="shared" si="1"/>
        <v>25801.706807999999</v>
      </c>
    </row>
    <row r="16" spans="1:4" ht="42.75" customHeight="1" x14ac:dyDescent="0.25">
      <c r="A16" s="23" t="s">
        <v>35</v>
      </c>
      <c r="B16" s="23"/>
      <c r="C16" s="23"/>
      <c r="D16" s="24"/>
    </row>
    <row r="17" spans="1:4" ht="30" x14ac:dyDescent="0.25">
      <c r="A17" s="9">
        <v>1</v>
      </c>
      <c r="B17" s="10" t="s">
        <v>41</v>
      </c>
      <c r="C17" s="12">
        <f>27915.10702*1.047</f>
        <v>29227.117049939996</v>
      </c>
      <c r="D17" s="12">
        <f>C17*1.2</f>
        <v>35072.540459927994</v>
      </c>
    </row>
    <row r="18" spans="1:4" x14ac:dyDescent="0.25">
      <c r="A18" s="9">
        <v>2</v>
      </c>
      <c r="B18" s="10" t="s">
        <v>42</v>
      </c>
      <c r="C18" s="12">
        <f>17831.72224*1.047</f>
        <v>18669.813185279996</v>
      </c>
      <c r="D18" s="12">
        <f t="shared" ref="D18:D21" si="2">C18*1.2</f>
        <v>22403.775822335996</v>
      </c>
    </row>
    <row r="19" spans="1:4" ht="35.25" customHeight="1" x14ac:dyDescent="0.25">
      <c r="A19" s="9">
        <v>3</v>
      </c>
      <c r="B19" s="10" t="s">
        <v>43</v>
      </c>
      <c r="C19" s="12">
        <f>9440.43255*1.047</f>
        <v>9884.1328798499981</v>
      </c>
      <c r="D19" s="12">
        <f t="shared" si="2"/>
        <v>11860.959455819997</v>
      </c>
    </row>
    <row r="20" spans="1:4" ht="36.75" customHeight="1" x14ac:dyDescent="0.25">
      <c r="A20" s="9">
        <v>4</v>
      </c>
      <c r="B20" s="10" t="s">
        <v>44</v>
      </c>
      <c r="C20" s="12">
        <f>29801.53229*1.047</f>
        <v>31202.204307629996</v>
      </c>
      <c r="D20" s="12">
        <f t="shared" si="2"/>
        <v>37442.645169155992</v>
      </c>
    </row>
    <row r="21" spans="1:4" ht="45.75" customHeight="1" x14ac:dyDescent="0.25">
      <c r="A21" s="9">
        <v>5</v>
      </c>
      <c r="B21" s="10" t="s">
        <v>45</v>
      </c>
      <c r="C21" s="12">
        <f>21501.42234*1.047</f>
        <v>22511.989189979999</v>
      </c>
      <c r="D21" s="12">
        <f t="shared" si="2"/>
        <v>27014.387027975998</v>
      </c>
    </row>
    <row r="22" spans="1:4" ht="46.5" customHeight="1" x14ac:dyDescent="0.25">
      <c r="A22" s="23" t="s">
        <v>36</v>
      </c>
      <c r="B22" s="23"/>
      <c r="C22" s="23"/>
      <c r="D22" s="24"/>
    </row>
    <row r="23" spans="1:4" ht="30" x14ac:dyDescent="0.25">
      <c r="A23" s="9">
        <v>1</v>
      </c>
      <c r="B23" s="10" t="s">
        <v>41</v>
      </c>
      <c r="C23" s="12">
        <f>29227.11704994*1.047</f>
        <v>30600.791551287177</v>
      </c>
      <c r="D23" s="12">
        <f>C23*1.2</f>
        <v>36720.949861544614</v>
      </c>
    </row>
    <row r="24" spans="1:4" ht="39" customHeight="1" x14ac:dyDescent="0.25">
      <c r="A24" s="9">
        <v>2</v>
      </c>
      <c r="B24" s="10" t="s">
        <v>42</v>
      </c>
      <c r="C24" s="12">
        <f>18669.81318528*1.047</f>
        <v>19547.294404988159</v>
      </c>
      <c r="D24" s="12">
        <f t="shared" ref="D24:D27" si="3">C24*1.2</f>
        <v>23456.753285985789</v>
      </c>
    </row>
    <row r="25" spans="1:4" ht="39.75" customHeight="1" x14ac:dyDescent="0.25">
      <c r="A25" s="9">
        <v>3</v>
      </c>
      <c r="B25" s="10" t="s">
        <v>43</v>
      </c>
      <c r="C25" s="12">
        <f>9884.13287985*1.047</f>
        <v>10348.687125202949</v>
      </c>
      <c r="D25" s="12">
        <f t="shared" si="3"/>
        <v>12418.424550243539</v>
      </c>
    </row>
    <row r="26" spans="1:4" ht="37.5" customHeight="1" x14ac:dyDescent="0.25">
      <c r="A26" s="9">
        <v>4</v>
      </c>
      <c r="B26" s="10" t="s">
        <v>46</v>
      </c>
      <c r="C26" s="12">
        <f>31202.20430763*1.047</f>
        <v>32668.707910088608</v>
      </c>
      <c r="D26" s="12">
        <f t="shared" si="3"/>
        <v>39202.449492106331</v>
      </c>
    </row>
    <row r="27" spans="1:4" ht="43.5" customHeight="1" x14ac:dyDescent="0.25">
      <c r="A27" s="9">
        <v>5</v>
      </c>
      <c r="B27" s="10" t="s">
        <v>45</v>
      </c>
      <c r="C27" s="12">
        <f>22511.98918998*1.047</f>
        <v>23570.052681909056</v>
      </c>
      <c r="D27" s="12">
        <f t="shared" si="3"/>
        <v>28284.063218290867</v>
      </c>
    </row>
    <row r="28" spans="1:4" ht="40.5" customHeight="1" x14ac:dyDescent="0.25">
      <c r="A28" s="23" t="s">
        <v>36</v>
      </c>
      <c r="B28" s="23"/>
      <c r="C28" s="23"/>
      <c r="D28" s="24"/>
    </row>
    <row r="29" spans="1:4" ht="30" x14ac:dyDescent="0.25">
      <c r="A29" s="9">
        <v>1</v>
      </c>
      <c r="B29" s="10" t="s">
        <v>41</v>
      </c>
      <c r="C29" s="12">
        <f>30600.7915512872*1.047</f>
        <v>32039.028754197694</v>
      </c>
      <c r="D29" s="12">
        <f>C29*1.2</f>
        <v>38446.83450503723</v>
      </c>
    </row>
    <row r="30" spans="1:4" ht="36.75" customHeight="1" x14ac:dyDescent="0.25">
      <c r="A30" s="9">
        <v>2</v>
      </c>
      <c r="B30" s="10" t="s">
        <v>47</v>
      </c>
      <c r="C30" s="12">
        <f>19547.2944049882*1.047</f>
        <v>20466.017242022644</v>
      </c>
      <c r="D30" s="12">
        <f t="shared" ref="D30:D33" si="4">C30*1.2</f>
        <v>24559.220690427173</v>
      </c>
    </row>
    <row r="31" spans="1:4" ht="39" customHeight="1" x14ac:dyDescent="0.25">
      <c r="A31" s="9">
        <v>3</v>
      </c>
      <c r="B31" s="10" t="s">
        <v>43</v>
      </c>
      <c r="C31" s="12">
        <f>10348.6871252029*1.047</f>
        <v>10835.075420087434</v>
      </c>
      <c r="D31" s="12">
        <f t="shared" si="4"/>
        <v>13002.090504104921</v>
      </c>
    </row>
    <row r="32" spans="1:4" ht="49.5" customHeight="1" x14ac:dyDescent="0.25">
      <c r="A32" s="9">
        <v>4</v>
      </c>
      <c r="B32" s="10" t="s">
        <v>46</v>
      </c>
      <c r="C32" s="12">
        <f>32668.7079100886*1.047</f>
        <v>34204.137181862759</v>
      </c>
      <c r="D32" s="12">
        <f t="shared" si="4"/>
        <v>41044.96461823531</v>
      </c>
    </row>
    <row r="33" spans="1:4" ht="51.75" customHeight="1" x14ac:dyDescent="0.25">
      <c r="A33" s="9">
        <v>5</v>
      </c>
      <c r="B33" s="10" t="s">
        <v>48</v>
      </c>
      <c r="C33" s="12">
        <f>23570.0526819091*1.047</f>
        <v>24677.845157958825</v>
      </c>
      <c r="D33" s="12">
        <f t="shared" si="4"/>
        <v>29613.414189550589</v>
      </c>
    </row>
  </sheetData>
  <mergeCells count="6">
    <mergeCell ref="A28:D28"/>
    <mergeCell ref="A3:B3"/>
    <mergeCell ref="A4:D4"/>
    <mergeCell ref="A10:D10"/>
    <mergeCell ref="A16:D16"/>
    <mergeCell ref="A22:D22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view="pageBreakPreview" topLeftCell="B1" zoomScale="60" zoomScaleNormal="100" workbookViewId="0">
      <selection activeCell="G28" sqref="G28"/>
    </sheetView>
  </sheetViews>
  <sheetFormatPr defaultRowHeight="15" x14ac:dyDescent="0.25"/>
  <cols>
    <col min="1" max="1" width="0" hidden="1" customWidth="1"/>
    <col min="2" max="2" width="7" customWidth="1"/>
    <col min="3" max="3" width="40.7109375" customWidth="1"/>
    <col min="4" max="4" width="16.85546875" customWidth="1"/>
    <col min="5" max="5" width="14.7109375" customWidth="1"/>
    <col min="6" max="6" width="15.85546875" customWidth="1"/>
    <col min="7" max="7" width="15.42578125" customWidth="1"/>
    <col min="8" max="8" width="14.140625" customWidth="1"/>
    <col min="9" max="9" width="15.140625" customWidth="1"/>
  </cols>
  <sheetData>
    <row r="2" spans="2:9" ht="24" customHeight="1" x14ac:dyDescent="0.25">
      <c r="B2" s="20" t="s">
        <v>54</v>
      </c>
      <c r="C2" s="27"/>
      <c r="D2" s="27"/>
      <c r="E2" s="27"/>
      <c r="F2" s="27"/>
      <c r="G2" s="27"/>
      <c r="H2" s="27"/>
      <c r="I2" s="21"/>
    </row>
    <row r="3" spans="2:9" ht="22.5" customHeight="1" x14ac:dyDescent="0.25"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2:9" ht="30" x14ac:dyDescent="0.25">
      <c r="B4" s="9">
        <v>1</v>
      </c>
      <c r="C4" s="10" t="s">
        <v>41</v>
      </c>
      <c r="D4" s="13">
        <f>'Итог кол ПУ'!C4*'Цены по годам с коэф.'!C5</f>
        <v>3945975.0133333337</v>
      </c>
      <c r="E4" s="13">
        <f>'Итог кол ПУ'!D4*'Цены по годам с коэф.'!C11</f>
        <v>2596104.9528599964</v>
      </c>
      <c r="F4" s="13">
        <f>'Итог кол ПУ'!E4*'Цены по годам с коэф.'!C17</f>
        <v>1753627.0229963998</v>
      </c>
      <c r="G4" s="13">
        <f>'Итог кол ПУ'!F4*'Цены по годам с коэф.'!C23</f>
        <v>2448063.324102974</v>
      </c>
      <c r="H4" s="13">
        <f>'Итог кол ПУ'!G4*'Цены по годам с коэф.'!C29</f>
        <v>2659239.3865984087</v>
      </c>
      <c r="I4" s="13">
        <f>SUM(D4:H4)</f>
        <v>13403009.699891111</v>
      </c>
    </row>
    <row r="5" spans="2:9" ht="38.25" customHeight="1" x14ac:dyDescent="0.25">
      <c r="B5" s="9">
        <v>2</v>
      </c>
      <c r="C5" s="10" t="s">
        <v>42</v>
      </c>
      <c r="D5" s="13">
        <f>'Итог кол ПУ'!C5*'Цены по годам с коэф.'!C6</f>
        <v>936718.93333333312</v>
      </c>
      <c r="E5" s="13">
        <f>'Итог кол ПУ'!D5*'Цены по годам с коэф.'!C12</f>
        <v>748932.33407999855</v>
      </c>
      <c r="F5" s="13">
        <f>'Итог кол ПУ'!E5*'Цены по годам с коэф.'!C18</f>
        <v>2557764.4063833593</v>
      </c>
      <c r="G5" s="13">
        <f>'Итог кол ПУ'!F5*'Цены по годам с коэф.'!C24</f>
        <v>1172837.6642992895</v>
      </c>
      <c r="H5" s="13">
        <f>'Итог кол ПУ'!G5*'Цены по годам с коэф.'!C30</f>
        <v>1043766.8793431548</v>
      </c>
      <c r="I5" s="13">
        <f t="shared" ref="I5:I8" si="0">SUM(D5:H5)</f>
        <v>6460020.2174391355</v>
      </c>
    </row>
    <row r="6" spans="2:9" ht="40.5" customHeight="1" x14ac:dyDescent="0.25">
      <c r="B6" s="9">
        <v>3</v>
      </c>
      <c r="C6" s="10" t="s">
        <v>43</v>
      </c>
      <c r="D6" s="13">
        <f>'Итог кол ПУ'!C6*'Цены по годам с коэф.'!C7</f>
        <v>108199.79999999999</v>
      </c>
      <c r="E6" s="13">
        <f>'Итог кол ПУ'!D6*'Цены по годам с коэф.'!C13</f>
        <v>75523.460399999996</v>
      </c>
      <c r="F6" s="13">
        <f>'Итог кол ПУ'!E6*'Цены по годам с коэф.'!C19</f>
        <v>79073.063038799984</v>
      </c>
      <c r="G6" s="13">
        <f>'Итог кол ПУ'!F6*'Цены по годам с коэф.'!C25</f>
        <v>103486.87125202949</v>
      </c>
      <c r="H6" s="13">
        <f>'Итог кол ПУ'!G6*'Цены по годам с коэф.'!C31</f>
        <v>65010.452520524603</v>
      </c>
      <c r="I6" s="13">
        <f t="shared" si="0"/>
        <v>431293.64721135405</v>
      </c>
    </row>
    <row r="7" spans="2:9" ht="39" customHeight="1" x14ac:dyDescent="0.25">
      <c r="B7" s="9">
        <v>4</v>
      </c>
      <c r="C7" s="10" t="s">
        <v>44</v>
      </c>
      <c r="D7" s="13">
        <f>'Итог кол ПУ'!C7*'Цены по годам с коэф.'!C8</f>
        <v>341564.83999999997</v>
      </c>
      <c r="E7" s="13">
        <f>'Итог кол ПУ'!D7*'Цены по годам с коэф.'!C14</f>
        <v>417221.45206000045</v>
      </c>
      <c r="F7" s="13">
        <f>'Итог кол ПУ'!E7*'Цены по годам с коэф.'!C20</f>
        <v>312022.04307629995</v>
      </c>
      <c r="G7" s="13">
        <f>'Итог кол ПУ'!F7*'Цены по годам с коэф.'!C26</f>
        <v>228680.95537062024</v>
      </c>
      <c r="H7" s="13">
        <f>'Итог кол ПУ'!G7*'Цены по годам с коэф.'!C32</f>
        <v>239428.96027303932</v>
      </c>
      <c r="I7" s="13">
        <f t="shared" si="0"/>
        <v>1538918.2507799601</v>
      </c>
    </row>
    <row r="8" spans="2:9" ht="51" customHeight="1" x14ac:dyDescent="0.25">
      <c r="B8" s="9">
        <v>5</v>
      </c>
      <c r="C8" s="10" t="s">
        <v>45</v>
      </c>
      <c r="D8" s="13">
        <f>'Итог кол ПУ'!C8*'Цены по годам с коэф.'!C9</f>
        <v>308043.3</v>
      </c>
      <c r="E8" s="13">
        <f>'Итог кол ПУ'!D8*'Цены по годам с коэф.'!C15</f>
        <v>430028.44680000003</v>
      </c>
      <c r="F8" s="13">
        <f>'Итог кол ПУ'!E8*'Цены по годам с коэф.'!C21</f>
        <v>540287.74055951997</v>
      </c>
      <c r="G8" s="13">
        <f>'Итог кол ПУ'!F8*'Цены по годам с коэф.'!C27</f>
        <v>447831.00095627207</v>
      </c>
      <c r="H8" s="13">
        <f>'Итог кол ПУ'!G8*'Цены по годам с коэф.'!C33</f>
        <v>419523.36768530001</v>
      </c>
      <c r="I8" s="13">
        <f t="shared" si="0"/>
        <v>2145713.8560010921</v>
      </c>
    </row>
    <row r="9" spans="2:9" x14ac:dyDescent="0.25">
      <c r="B9" s="20" t="s">
        <v>25</v>
      </c>
      <c r="C9" s="21"/>
      <c r="D9" s="14">
        <f t="shared" ref="D9:I9" si="1">SUM(D4:D8)</f>
        <v>5640501.8866666667</v>
      </c>
      <c r="E9" s="14">
        <f t="shared" si="1"/>
        <v>4267810.6461999957</v>
      </c>
      <c r="F9" s="14">
        <f t="shared" si="1"/>
        <v>5242774.2760543795</v>
      </c>
      <c r="G9" s="14">
        <f t="shared" si="1"/>
        <v>4400899.8159811851</v>
      </c>
      <c r="H9" s="14">
        <f t="shared" si="1"/>
        <v>4426969.046420428</v>
      </c>
      <c r="I9" s="14">
        <f t="shared" si="1"/>
        <v>23978955.671322651</v>
      </c>
    </row>
  </sheetData>
  <mergeCells count="2">
    <mergeCell ref="B9:C9"/>
    <mergeCell ref="B2:I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5"/>
  <sheetViews>
    <sheetView workbookViewId="0">
      <selection activeCell="F22" sqref="F22"/>
    </sheetView>
  </sheetViews>
  <sheetFormatPr defaultRowHeight="15" x14ac:dyDescent="0.25"/>
  <cols>
    <col min="2" max="2" width="7" customWidth="1"/>
    <col min="3" max="3" width="40.7109375" customWidth="1"/>
    <col min="4" max="4" width="13.5703125" customWidth="1"/>
    <col min="5" max="5" width="12.7109375" customWidth="1"/>
    <col min="6" max="7" width="12" customWidth="1"/>
    <col min="8" max="8" width="12.7109375" customWidth="1"/>
    <col min="9" max="9" width="13.85546875" customWidth="1"/>
  </cols>
  <sheetData>
    <row r="1" spans="2:9" x14ac:dyDescent="0.25">
      <c r="B1" s="22" t="s">
        <v>55</v>
      </c>
      <c r="C1" s="22"/>
      <c r="D1" s="22"/>
      <c r="E1" s="22"/>
      <c r="F1" s="22"/>
      <c r="G1" s="22"/>
      <c r="H1" s="22"/>
      <c r="I1" s="22"/>
    </row>
    <row r="3" spans="2:9" x14ac:dyDescent="0.25"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2:9" ht="30" x14ac:dyDescent="0.25">
      <c r="B4" s="9">
        <v>1</v>
      </c>
      <c r="C4" s="10" t="s">
        <v>41</v>
      </c>
      <c r="D4" s="15">
        <v>7</v>
      </c>
      <c r="E4" s="15">
        <v>5</v>
      </c>
      <c r="F4" s="15">
        <v>3</v>
      </c>
      <c r="G4" s="15">
        <v>4</v>
      </c>
      <c r="H4" s="15">
        <v>4</v>
      </c>
      <c r="I4" s="15">
        <f>SUM(D4:H4)</f>
        <v>23</v>
      </c>
    </row>
    <row r="5" spans="2:9" ht="36.75" customHeight="1" x14ac:dyDescent="0.25">
      <c r="B5" s="9">
        <v>2</v>
      </c>
      <c r="C5" s="10" t="s">
        <v>42</v>
      </c>
      <c r="D5" s="15">
        <v>3</v>
      </c>
      <c r="E5" s="15">
        <v>2</v>
      </c>
      <c r="F5" s="15">
        <v>7</v>
      </c>
      <c r="G5" s="15">
        <v>3</v>
      </c>
      <c r="H5" s="15">
        <v>3</v>
      </c>
      <c r="I5" s="15">
        <f t="shared" ref="I5:I8" si="0">SUM(D5:H5)</f>
        <v>18</v>
      </c>
    </row>
    <row r="6" spans="2:9" ht="42" customHeight="1" x14ac:dyDescent="0.25">
      <c r="B6" s="9">
        <v>3</v>
      </c>
      <c r="C6" s="10" t="s">
        <v>49</v>
      </c>
      <c r="D6" s="15">
        <v>1</v>
      </c>
      <c r="E6" s="15">
        <v>0</v>
      </c>
      <c r="F6" s="15">
        <v>0</v>
      </c>
      <c r="G6" s="15">
        <v>1</v>
      </c>
      <c r="H6" s="15">
        <v>0</v>
      </c>
      <c r="I6" s="15">
        <f t="shared" si="0"/>
        <v>2</v>
      </c>
    </row>
    <row r="7" spans="2:9" ht="43.5" customHeight="1" x14ac:dyDescent="0.25">
      <c r="B7" s="9">
        <v>4</v>
      </c>
      <c r="C7" s="10" t="s">
        <v>46</v>
      </c>
      <c r="D7" s="15">
        <v>1</v>
      </c>
      <c r="E7" s="15">
        <v>1</v>
      </c>
      <c r="F7" s="15">
        <v>1</v>
      </c>
      <c r="G7" s="15">
        <v>0</v>
      </c>
      <c r="H7" s="15">
        <v>0</v>
      </c>
      <c r="I7" s="15">
        <f t="shared" si="0"/>
        <v>3</v>
      </c>
    </row>
    <row r="8" spans="2:9" ht="40.5" customHeight="1" x14ac:dyDescent="0.25">
      <c r="B8" s="9">
        <v>5</v>
      </c>
      <c r="C8" s="10" t="s">
        <v>45</v>
      </c>
      <c r="D8" s="15">
        <v>1</v>
      </c>
      <c r="E8" s="15">
        <v>1</v>
      </c>
      <c r="F8" s="15">
        <v>1</v>
      </c>
      <c r="G8" s="15">
        <v>1</v>
      </c>
      <c r="H8" s="15">
        <v>1</v>
      </c>
      <c r="I8" s="15">
        <f t="shared" si="0"/>
        <v>5</v>
      </c>
    </row>
    <row r="9" spans="2:9" x14ac:dyDescent="0.25">
      <c r="B9" s="20" t="s">
        <v>25</v>
      </c>
      <c r="C9" s="21"/>
      <c r="D9" s="15">
        <f t="shared" ref="D9:I9" si="1">SUM(D4:D8)</f>
        <v>13</v>
      </c>
      <c r="E9" s="15">
        <f t="shared" si="1"/>
        <v>9</v>
      </c>
      <c r="F9" s="15">
        <f t="shared" si="1"/>
        <v>12</v>
      </c>
      <c r="G9" s="15">
        <f t="shared" si="1"/>
        <v>9</v>
      </c>
      <c r="H9" s="15">
        <f t="shared" si="1"/>
        <v>8</v>
      </c>
      <c r="I9" s="15">
        <f t="shared" si="1"/>
        <v>51</v>
      </c>
    </row>
    <row r="19" spans="14:19" x14ac:dyDescent="0.25">
      <c r="N19" t="s">
        <v>40</v>
      </c>
    </row>
    <row r="20" spans="14:19" x14ac:dyDescent="0.25">
      <c r="N20" s="15">
        <f>'Итог кол ПУ'!C4*0.05</f>
        <v>7.4</v>
      </c>
      <c r="O20" s="15">
        <f>'Итог кол ПУ'!D4*0.05</f>
        <v>4.6500000000000004</v>
      </c>
      <c r="P20" s="15">
        <f>'Итог кол ПУ'!E4*0.05</f>
        <v>3</v>
      </c>
      <c r="Q20" s="15">
        <f>'Итог кол ПУ'!F4*0.05</f>
        <v>4</v>
      </c>
      <c r="R20" s="15">
        <f>'Итог кол ПУ'!G4*0.05</f>
        <v>4.1500000000000004</v>
      </c>
      <c r="S20" s="15">
        <f>SUM(N20:R20)</f>
        <v>23.200000000000003</v>
      </c>
    </row>
    <row r="21" spans="14:19" x14ac:dyDescent="0.25">
      <c r="N21" s="15">
        <f>'Итог кол ПУ'!C5*0.05</f>
        <v>2.75</v>
      </c>
      <c r="O21" s="15">
        <f>'Итог кол ПУ'!D5*0.05</f>
        <v>2.1</v>
      </c>
      <c r="P21" s="15">
        <f>'Итог кол ПУ'!E5*0.05</f>
        <v>6.8500000000000005</v>
      </c>
      <c r="Q21" s="15">
        <f>'Итог кол ПУ'!F5*0.05</f>
        <v>3</v>
      </c>
      <c r="R21" s="15">
        <f>'Итог кол ПУ'!G5*0.05</f>
        <v>2.5500000000000003</v>
      </c>
      <c r="S21" s="15">
        <f t="shared" ref="S21:S24" si="2">SUM(N21:R21)</f>
        <v>17.25</v>
      </c>
    </row>
    <row r="22" spans="14:19" x14ac:dyDescent="0.25">
      <c r="N22" s="15">
        <f>'Итог кол ПУ'!C6*0.05</f>
        <v>0.60000000000000009</v>
      </c>
      <c r="O22" s="15">
        <f>'Итог кол ПУ'!D6*0.05</f>
        <v>0.4</v>
      </c>
      <c r="P22" s="15">
        <f>'Итог кол ПУ'!E6*0.05</f>
        <v>0.4</v>
      </c>
      <c r="Q22" s="15">
        <f>'Итог кол ПУ'!F6*0.05</f>
        <v>0.5</v>
      </c>
      <c r="R22" s="15">
        <f>'Итог кол ПУ'!G6*0.05</f>
        <v>0.30000000000000004</v>
      </c>
      <c r="S22" s="15">
        <f t="shared" si="2"/>
        <v>2.2000000000000002</v>
      </c>
    </row>
    <row r="23" spans="14:19" x14ac:dyDescent="0.25">
      <c r="N23" s="15">
        <f>'Итог кол ПУ'!C7*0.05</f>
        <v>0.60000000000000009</v>
      </c>
      <c r="O23" s="15">
        <f>'Итог кол ПУ'!D7*0.05</f>
        <v>0.70000000000000007</v>
      </c>
      <c r="P23" s="15">
        <f>'Итог кол ПУ'!E7*0.05</f>
        <v>0.5</v>
      </c>
      <c r="Q23" s="15">
        <f>'Итог кол ПУ'!F7*0.05</f>
        <v>0.35000000000000003</v>
      </c>
      <c r="R23" s="15">
        <f>'Итог кол ПУ'!G7*0.05</f>
        <v>0.35000000000000003</v>
      </c>
      <c r="S23" s="15">
        <f t="shared" si="2"/>
        <v>2.5000000000000004</v>
      </c>
    </row>
    <row r="24" spans="14:19" x14ac:dyDescent="0.25">
      <c r="N24" s="15">
        <f>'Итог кол ПУ'!C8*0.05</f>
        <v>0.75</v>
      </c>
      <c r="O24" s="15">
        <f>'Итог кол ПУ'!D8*0.05</f>
        <v>1</v>
      </c>
      <c r="P24" s="15">
        <f>'Итог кол ПУ'!E8*0.05</f>
        <v>1.2000000000000002</v>
      </c>
      <c r="Q24" s="15">
        <f>'Итог кол ПУ'!F8*0.05</f>
        <v>0.95000000000000007</v>
      </c>
      <c r="R24" s="15">
        <f>'Итог кол ПУ'!G8*0.05</f>
        <v>0.85000000000000009</v>
      </c>
      <c r="S24" s="15">
        <f t="shared" si="2"/>
        <v>4.75</v>
      </c>
    </row>
    <row r="25" spans="14:19" x14ac:dyDescent="0.25">
      <c r="N25" s="15">
        <f t="shared" ref="N25:S25" si="3">SUM(N20:N24)</f>
        <v>12.1</v>
      </c>
      <c r="O25" s="15">
        <f t="shared" si="3"/>
        <v>8.8500000000000014</v>
      </c>
      <c r="P25" s="15">
        <f t="shared" si="3"/>
        <v>11.950000000000003</v>
      </c>
      <c r="Q25" s="15">
        <f t="shared" si="3"/>
        <v>8.7999999999999989</v>
      </c>
      <c r="R25" s="15">
        <f t="shared" si="3"/>
        <v>8.2000000000000011</v>
      </c>
      <c r="S25" s="15">
        <f t="shared" si="3"/>
        <v>49.900000000000006</v>
      </c>
    </row>
  </sheetData>
  <mergeCells count="2">
    <mergeCell ref="B9:C9"/>
    <mergeCell ref="B1:I1"/>
  </mergeCells>
  <pageMargins left="0.7" right="0.7" top="0.75" bottom="0.75" header="0.3" footer="0.3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opLeftCell="B1" workbookViewId="0">
      <selection activeCell="E22" sqref="E22"/>
    </sheetView>
  </sheetViews>
  <sheetFormatPr defaultRowHeight="15" x14ac:dyDescent="0.25"/>
  <cols>
    <col min="2" max="2" width="7" customWidth="1"/>
    <col min="3" max="3" width="40.7109375" customWidth="1"/>
    <col min="4" max="4" width="16.85546875" customWidth="1"/>
    <col min="5" max="5" width="14.7109375" customWidth="1"/>
    <col min="6" max="6" width="15.85546875" customWidth="1"/>
    <col min="7" max="7" width="15.42578125" customWidth="1"/>
    <col min="8" max="8" width="14.140625" customWidth="1"/>
    <col min="9" max="9" width="15.140625" customWidth="1"/>
  </cols>
  <sheetData>
    <row r="2" spans="2:9" x14ac:dyDescent="0.25">
      <c r="B2" s="20" t="s">
        <v>56</v>
      </c>
      <c r="C2" s="27"/>
      <c r="D2" s="27"/>
      <c r="E2" s="27"/>
      <c r="F2" s="27"/>
      <c r="G2" s="27"/>
      <c r="H2" s="27"/>
      <c r="I2" s="21"/>
    </row>
    <row r="3" spans="2:9" x14ac:dyDescent="0.25"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2:9" ht="30" x14ac:dyDescent="0.25">
      <c r="B4" s="9">
        <v>1</v>
      </c>
      <c r="C4" s="10" t="s">
        <v>41</v>
      </c>
      <c r="D4" s="13">
        <f>'Резерв ПУ'!D4*'Цены по годам с коэф.'!C5</f>
        <v>186633.95333333334</v>
      </c>
      <c r="E4" s="13">
        <f>'Резерв ПУ'!E4*'Цены по годам с коэф.'!C11</f>
        <v>139575.5350999998</v>
      </c>
      <c r="F4" s="13">
        <f>'Резерв ПУ'!F4*'Цены по годам с коэф.'!C17</f>
        <v>87681.351149819995</v>
      </c>
      <c r="G4" s="13">
        <f>'Резерв ПУ'!G4*'Цены по годам с коэф.'!C23</f>
        <v>122403.16620514871</v>
      </c>
      <c r="H4" s="13">
        <f>'Резерв ПУ'!H4*'Цены по годам с коэф.'!C29</f>
        <v>128156.11501679078</v>
      </c>
      <c r="I4" s="13">
        <f>SUM(D4:H4)</f>
        <v>664450.12080509262</v>
      </c>
    </row>
    <row r="5" spans="2:9" ht="43.5" customHeight="1" x14ac:dyDescent="0.25">
      <c r="B5" s="9">
        <v>2</v>
      </c>
      <c r="C5" s="10" t="s">
        <v>42</v>
      </c>
      <c r="D5" s="13">
        <f>'Резерв ПУ'!D5*'Цены по годам с коэф.'!C6</f>
        <v>51093.759999999995</v>
      </c>
      <c r="E5" s="13">
        <f>'Резерв ПУ'!E5*'Цены по годам с коэф.'!C12</f>
        <v>35663.444479999933</v>
      </c>
      <c r="F5" s="13">
        <f>'Резерв ПУ'!F5*'Цены по годам с коэф.'!C18</f>
        <v>130688.69229695997</v>
      </c>
      <c r="G5" s="13">
        <f>'Резерв ПУ'!G5*'Цены по годам с коэф.'!C24</f>
        <v>58641.883214964473</v>
      </c>
      <c r="H5" s="13">
        <f>'Резерв ПУ'!H5*'Цены по годам с коэф.'!C30</f>
        <v>61398.051726067933</v>
      </c>
      <c r="I5" s="13">
        <f t="shared" ref="I5:I8" si="0">SUM(D5:H5)</f>
        <v>337485.83171799232</v>
      </c>
    </row>
    <row r="6" spans="2:9" ht="39.75" customHeight="1" x14ac:dyDescent="0.25">
      <c r="B6" s="9">
        <v>3</v>
      </c>
      <c r="C6" s="10" t="s">
        <v>49</v>
      </c>
      <c r="D6" s="13">
        <f>'Резерв ПУ'!D6*'Цены по годам с коэф.'!C7</f>
        <v>9016.65</v>
      </c>
      <c r="E6" s="13">
        <f>'Резерв ПУ'!E6*'Цены по годам с коэф.'!C13</f>
        <v>0</v>
      </c>
      <c r="F6" s="13">
        <f>'Резерв ПУ'!F6*'Цены по годам с коэф.'!C19</f>
        <v>0</v>
      </c>
      <c r="G6" s="13">
        <f>'Резерв ПУ'!G6*'Цены по годам с коэф.'!C25</f>
        <v>10348.687125202949</v>
      </c>
      <c r="H6" s="13">
        <f>'Резерв ПУ'!H6*'Цены по годам с коэф.'!C31</f>
        <v>0</v>
      </c>
      <c r="I6" s="13">
        <f t="shared" si="0"/>
        <v>19365.337125202946</v>
      </c>
    </row>
    <row r="7" spans="2:9" ht="39.75" customHeight="1" x14ac:dyDescent="0.25">
      <c r="B7" s="9">
        <v>4</v>
      </c>
      <c r="C7" s="10" t="s">
        <v>44</v>
      </c>
      <c r="D7" s="13">
        <f>'Резерв ПУ'!D7*'Цены по годам с коэф.'!C8</f>
        <v>28463.736666666664</v>
      </c>
      <c r="E7" s="13">
        <f>'Резерв ПУ'!E7*'Цены по годам с коэф.'!C14</f>
        <v>29801.532290000032</v>
      </c>
      <c r="F7" s="13">
        <f>'Резерв ПУ'!F7*'Цены по годам с коэф.'!C20</f>
        <v>31202.204307629996</v>
      </c>
      <c r="G7" s="13">
        <f>'Резерв ПУ'!G7*'Цены по годам с коэф.'!C26</f>
        <v>0</v>
      </c>
      <c r="H7" s="13">
        <f>'Резерв ПУ'!H7*'Цены по годам с коэф.'!C32</f>
        <v>0</v>
      </c>
      <c r="I7" s="13">
        <f t="shared" si="0"/>
        <v>89467.473264296685</v>
      </c>
    </row>
    <row r="8" spans="2:9" ht="40.5" customHeight="1" x14ac:dyDescent="0.25">
      <c r="B8" s="9">
        <v>5</v>
      </c>
      <c r="C8" s="10" t="s">
        <v>45</v>
      </c>
      <c r="D8" s="13">
        <f>'Резерв ПУ'!D8*'Цены по годам с коэф.'!C9</f>
        <v>20536.219999999998</v>
      </c>
      <c r="E8" s="13">
        <f>'Резерв ПУ'!E8*'Цены по годам с коэф.'!C15</f>
        <v>21501.422340000001</v>
      </c>
      <c r="F8" s="13">
        <f>'Резерв ПУ'!F8*'Цены по годам с коэф.'!C21</f>
        <v>22511.989189979999</v>
      </c>
      <c r="G8" s="13">
        <f>'Резерв ПУ'!G8*'Цены по годам с коэф.'!C27</f>
        <v>23570.052681909056</v>
      </c>
      <c r="H8" s="13">
        <f>'Резерв ПУ'!H8*'Цены по годам с коэф.'!C33</f>
        <v>24677.845157958825</v>
      </c>
      <c r="I8" s="13">
        <f t="shared" si="0"/>
        <v>112797.52936984788</v>
      </c>
    </row>
    <row r="9" spans="2:9" x14ac:dyDescent="0.25">
      <c r="B9" s="20" t="s">
        <v>25</v>
      </c>
      <c r="C9" s="21"/>
      <c r="D9" s="14">
        <f t="shared" ref="D9:I9" si="1">SUM(D4:D8)</f>
        <v>295744.31999999995</v>
      </c>
      <c r="E9" s="14">
        <f t="shared" si="1"/>
        <v>226541.93420999977</v>
      </c>
      <c r="F9" s="14">
        <f t="shared" si="1"/>
        <v>272084.23694438994</v>
      </c>
      <c r="G9" s="14">
        <f t="shared" si="1"/>
        <v>214963.78922722518</v>
      </c>
      <c r="H9" s="14">
        <f t="shared" si="1"/>
        <v>214232.01190081754</v>
      </c>
      <c r="I9" s="14">
        <f t="shared" si="1"/>
        <v>1223566.2922824326</v>
      </c>
    </row>
  </sheetData>
  <mergeCells count="2">
    <mergeCell ref="B2:I2"/>
    <mergeCell ref="B9:C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"/>
  <sheetViews>
    <sheetView tabSelected="1" view="pageBreakPreview" topLeftCell="B1" zoomScale="120" zoomScaleNormal="100" zoomScaleSheetLayoutView="120" workbookViewId="0">
      <selection activeCell="H20" sqref="H20"/>
    </sheetView>
  </sheetViews>
  <sheetFormatPr defaultRowHeight="15" x14ac:dyDescent="0.25"/>
  <cols>
    <col min="1" max="1" width="0" hidden="1" customWidth="1"/>
    <col min="2" max="2" width="7" customWidth="1"/>
    <col min="3" max="3" width="40.7109375" customWidth="1"/>
    <col min="4" max="4" width="16.85546875" customWidth="1"/>
    <col min="5" max="5" width="14.7109375" customWidth="1"/>
    <col min="6" max="6" width="15.85546875" customWidth="1"/>
    <col min="7" max="7" width="15.42578125" customWidth="1"/>
    <col min="8" max="8" width="14.140625" customWidth="1"/>
    <col min="9" max="9" width="15.140625" customWidth="1"/>
  </cols>
  <sheetData>
    <row r="2" spans="2:9" x14ac:dyDescent="0.25">
      <c r="B2" s="20" t="s">
        <v>37</v>
      </c>
      <c r="C2" s="27"/>
      <c r="D2" s="27"/>
      <c r="E2" s="27"/>
      <c r="F2" s="27"/>
      <c r="G2" s="27"/>
      <c r="H2" s="27"/>
      <c r="I2" s="21"/>
    </row>
    <row r="3" spans="2:9" x14ac:dyDescent="0.25"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2:9" ht="30" x14ac:dyDescent="0.25">
      <c r="B4" s="9">
        <v>1</v>
      </c>
      <c r="C4" s="10" t="s">
        <v>50</v>
      </c>
      <c r="D4" s="13">
        <f>'Итог кол ПУ'!C4*'Цены по годам с коэф.'!C5+'Стоимость резерва'!D4</f>
        <v>4132608.9666666668</v>
      </c>
      <c r="E4" s="13">
        <f>'Итог кол ПУ'!D4*'Цены по годам с коэф.'!C11+'Стоимость резерва'!E4</f>
        <v>2735680.4879599963</v>
      </c>
      <c r="F4" s="13">
        <f>'Итог кол ПУ'!E4*'Цены по годам с коэф.'!C17+'Стоимость резерва'!F4</f>
        <v>1841308.3741462198</v>
      </c>
      <c r="G4" s="13">
        <f>'Итог кол ПУ'!F4*'Цены по годам с коэф.'!C23+'Стоимость резерва'!G4</f>
        <v>2570466.4903081227</v>
      </c>
      <c r="H4" s="13">
        <f>'Итог кол ПУ'!G4*'Цены по годам с коэф.'!C29+'Стоимость резерва'!H4</f>
        <v>2787395.5016151993</v>
      </c>
      <c r="I4" s="13">
        <f>SUM(D4:H4)</f>
        <v>14067459.820696205</v>
      </c>
    </row>
    <row r="5" spans="2:9" x14ac:dyDescent="0.25">
      <c r="B5" s="9">
        <v>2</v>
      </c>
      <c r="C5" s="10" t="s">
        <v>42</v>
      </c>
      <c r="D5" s="13">
        <f>'Итог кол ПУ'!C5*'Цены по годам с коэф.'!C6+'Стоимость резерва'!D5</f>
        <v>987812.69333333313</v>
      </c>
      <c r="E5" s="13">
        <f>'Итог кол ПУ'!D5*'Цены по годам с коэф.'!C12+'Стоимость резерва'!E5</f>
        <v>784595.77855999849</v>
      </c>
      <c r="F5" s="13">
        <f>'Итог кол ПУ'!E5*'Цены по годам с коэф.'!C18+'Стоимость резерва'!F5</f>
        <v>2688453.0986803193</v>
      </c>
      <c r="G5" s="13">
        <f>'Итог кол ПУ'!F5*'Цены по годам с коэф.'!C24+'Стоимость резерва'!G5</f>
        <v>1231479.547514254</v>
      </c>
      <c r="H5" s="13">
        <f>'Итог кол ПУ'!G5*'Цены по годам с коэф.'!C30+'Стоимость резерва'!H5</f>
        <v>1105164.9310692227</v>
      </c>
      <c r="I5" s="13">
        <f t="shared" ref="I5:I8" si="0">SUM(D5:H5)</f>
        <v>6797506.0491571277</v>
      </c>
    </row>
    <row r="6" spans="2:9" x14ac:dyDescent="0.25">
      <c r="B6" s="9">
        <v>3</v>
      </c>
      <c r="C6" s="10" t="s">
        <v>43</v>
      </c>
      <c r="D6" s="13">
        <f>'Итог кол ПУ'!C6*'Цены по годам с коэф.'!C7+'Стоимость резерва'!D6</f>
        <v>117216.44999999998</v>
      </c>
      <c r="E6" s="13">
        <f>'Итог кол ПУ'!D6*'Цены по годам с коэф.'!C13+'Стоимость резерва'!E6</f>
        <v>75523.460399999996</v>
      </c>
      <c r="F6" s="13">
        <f>'Итог кол ПУ'!E6*'Цены по годам с коэф.'!C19+'Стоимость резерва'!F6</f>
        <v>79073.063038799984</v>
      </c>
      <c r="G6" s="13">
        <f>'Итог кол ПУ'!F6*'Цены по годам с коэф.'!C25+'Стоимость резерва'!G6</f>
        <v>113835.55837723245</v>
      </c>
      <c r="H6" s="13">
        <f>'Итог кол ПУ'!G6*'Цены по годам с коэф.'!C31+'Стоимость резерва'!H6</f>
        <v>65010.452520524603</v>
      </c>
      <c r="I6" s="13">
        <f t="shared" si="0"/>
        <v>450658.98433655704</v>
      </c>
    </row>
    <row r="7" spans="2:9" ht="30" x14ac:dyDescent="0.25">
      <c r="B7" s="9">
        <v>4</v>
      </c>
      <c r="C7" s="10" t="s">
        <v>44</v>
      </c>
      <c r="D7" s="13">
        <f>'Итог кол ПУ'!C7*'Цены по годам с коэф.'!C8+'Стоимость резерва'!D7</f>
        <v>370028.57666666666</v>
      </c>
      <c r="E7" s="13">
        <f>'Итог кол ПУ'!D7*'Цены по годам с коэф.'!C14+'Стоимость резерва'!E7</f>
        <v>447022.98435000051</v>
      </c>
      <c r="F7" s="13">
        <f>'Итог кол ПУ'!E7*'Цены по годам с коэф.'!C20+'Стоимость резерва'!F7</f>
        <v>343224.24738392996</v>
      </c>
      <c r="G7" s="13">
        <f>'Итог кол ПУ'!F7*'Цены по годам с коэф.'!C26+'Стоимость резерва'!G7</f>
        <v>228680.95537062024</v>
      </c>
      <c r="H7" s="13">
        <f>'Итог кол ПУ'!G7*'Цены по годам с коэф.'!C32+'Стоимость резерва'!H7</f>
        <v>239428.96027303932</v>
      </c>
      <c r="I7" s="13">
        <f t="shared" si="0"/>
        <v>1628385.7240442566</v>
      </c>
    </row>
    <row r="8" spans="2:9" x14ac:dyDescent="0.25">
      <c r="B8" s="9">
        <v>5</v>
      </c>
      <c r="C8" s="10" t="s">
        <v>45</v>
      </c>
      <c r="D8" s="13">
        <f>'Итог кол ПУ'!C8*'Цены по годам с коэф.'!C9+'Стоимость резерва'!D8</f>
        <v>328579.51999999996</v>
      </c>
      <c r="E8" s="13">
        <f>'Итог кол ПУ'!D8*'Цены по годам с коэф.'!C15+'Стоимость резерва'!E8</f>
        <v>451529.86914000002</v>
      </c>
      <c r="F8" s="13">
        <f>'Итог кол ПУ'!E8*'Цены по годам с коэф.'!C21+'Стоимость резерва'!F8</f>
        <v>562799.72974949994</v>
      </c>
      <c r="G8" s="13">
        <f>'Итог кол ПУ'!F8*'Цены по годам с коэф.'!C27+'Стоимость резерва'!G8</f>
        <v>471401.05363818113</v>
      </c>
      <c r="H8" s="13">
        <f>'Итог кол ПУ'!G8*'Цены по годам с коэф.'!C33+'Стоимость резерва'!H8</f>
        <v>444201.21284325881</v>
      </c>
      <c r="I8" s="13">
        <f t="shared" si="0"/>
        <v>2258511.38537094</v>
      </c>
    </row>
    <row r="9" spans="2:9" x14ac:dyDescent="0.25">
      <c r="B9" s="20" t="s">
        <v>38</v>
      </c>
      <c r="C9" s="21"/>
      <c r="D9" s="14">
        <f>SUM(D4:D8)</f>
        <v>5936246.206666667</v>
      </c>
      <c r="E9" s="14">
        <f t="shared" ref="E9:I9" si="1">SUM(E4:E8)</f>
        <v>4494352.5804099953</v>
      </c>
      <c r="F9" s="14">
        <f>SUM(F4:F8)</f>
        <v>5514858.5129987681</v>
      </c>
      <c r="G9" s="14">
        <f t="shared" si="1"/>
        <v>4615863.6052084109</v>
      </c>
      <c r="H9" s="14">
        <f>SUM(H4:H8)</f>
        <v>4641201.058321245</v>
      </c>
      <c r="I9" s="14">
        <f t="shared" si="1"/>
        <v>25202521.963605087</v>
      </c>
    </row>
    <row r="10" spans="2:9" x14ac:dyDescent="0.25">
      <c r="B10" s="28" t="s">
        <v>39</v>
      </c>
      <c r="C10" s="28"/>
      <c r="D10" s="14">
        <f>D9*1.2</f>
        <v>7123495.4479999999</v>
      </c>
      <c r="E10" s="14">
        <f>E9*1.2</f>
        <v>5393223.0964919943</v>
      </c>
      <c r="F10" s="14">
        <f>F9*1.2</f>
        <v>6617830.2155985218</v>
      </c>
      <c r="G10" s="14">
        <f>G9*1.2</f>
        <v>5539036.3262500931</v>
      </c>
      <c r="H10" s="14">
        <f>H9*1.2</f>
        <v>5569441.2699854942</v>
      </c>
      <c r="I10" s="14">
        <f>SUM(D10:H10)</f>
        <v>30243026.356326099</v>
      </c>
    </row>
  </sheetData>
  <mergeCells count="3">
    <mergeCell ref="B2:I2"/>
    <mergeCell ref="B9:C9"/>
    <mergeCell ref="B10:C10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Итог кол ПУ</vt:lpstr>
      <vt:lpstr>Средняя цена по комм предл</vt:lpstr>
      <vt:lpstr>Цены по годам с коэф.</vt:lpstr>
      <vt:lpstr>Стоимость затрат план замена</vt:lpstr>
      <vt:lpstr>Резерв ПУ</vt:lpstr>
      <vt:lpstr>Стоимость резерва</vt:lpstr>
      <vt:lpstr>Стоимость замены (МПИ и резерв)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pto1</cp:lastModifiedBy>
  <cp:lastPrinted>2022-02-16T07:06:21Z</cp:lastPrinted>
  <dcterms:created xsi:type="dcterms:W3CDTF">2021-12-22T02:17:51Z</dcterms:created>
  <dcterms:modified xsi:type="dcterms:W3CDTF">2022-02-18T04:08:32Z</dcterms:modified>
</cp:coreProperties>
</file>